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1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11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2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13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14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15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16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drawings/drawing17.xml" ContentType="application/vnd.openxmlformats-officedocument.drawing+xml"/>
  <Override PartName="/xl/tables/table1.xml" ContentType="application/vnd.openxmlformats-officedocument.spreadsheetml.table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18.xml" ContentType="application/vnd.openxmlformats-officedocument.drawing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19.xml" ContentType="application/vnd.openxmlformats-officedocument.drawing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80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81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2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3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4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5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6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\Desktop\MPP\Flevy\Events Venue\"/>
    </mc:Choice>
  </mc:AlternateContent>
  <xr:revisionPtr revIDLastSave="0" documentId="13_ncr:1_{E8AB1138-66E9-479D-87F9-3F8D288132C2}" xr6:coauthVersionLast="47" xr6:coauthVersionMax="47" xr10:uidLastSave="{00000000-0000-0000-0000-000000000000}"/>
  <bookViews>
    <workbookView xWindow="-108" yWindow="-108" windowWidth="23256" windowHeight="13896" tabRatio="934" firstSheet="21" activeTab="30" xr2:uid="{152CE74B-ACBB-4039-8F2C-96E2E3436DFB}"/>
  </bookViews>
  <sheets>
    <sheet name="2024 Sales Summary" sheetId="1" r:id="rId1"/>
    <sheet name="IS 2024" sheetId="23" r:id="rId2"/>
    <sheet name="CF 2024" sheetId="24" r:id="rId3"/>
    <sheet name="BS 2024" sheetId="25" r:id="rId4"/>
    <sheet name="Statements Summary 2024" sheetId="30" r:id="rId5"/>
    <sheet name="2025 Sales Summary" sheetId="49" r:id="rId6"/>
    <sheet name="IS 2025" sheetId="26" r:id="rId7"/>
    <sheet name="CF 2025" sheetId="33" r:id="rId8"/>
    <sheet name="BS 2025" sheetId="40" r:id="rId9"/>
    <sheet name="Statements Summary 2025" sheetId="31" r:id="rId10"/>
    <sheet name="2026 Sales Summary" sheetId="50" r:id="rId11"/>
    <sheet name="IS 2026" sheetId="27" r:id="rId12"/>
    <sheet name="CF 2026" sheetId="37" r:id="rId13"/>
    <sheet name="BS 2026" sheetId="41" r:id="rId14"/>
    <sheet name="Statements Summary 2026" sheetId="32" r:id="rId15"/>
    <sheet name="2027 Sales Summary" sheetId="51" r:id="rId16"/>
    <sheet name="IS 2027" sheetId="28" r:id="rId17"/>
    <sheet name="CF 2027" sheetId="38" r:id="rId18"/>
    <sheet name="BS 2027" sheetId="42" r:id="rId19"/>
    <sheet name="Statements Summary 2027" sheetId="44" r:id="rId20"/>
    <sheet name="2028 Sales Summary" sheetId="52" r:id="rId21"/>
    <sheet name="IS 2028" sheetId="29" r:id="rId22"/>
    <sheet name="CF 2028" sheetId="39" r:id="rId23"/>
    <sheet name="BS 2028" sheetId="43" r:id="rId24"/>
    <sheet name="Statements Summary 2028" sheetId="45" r:id="rId25"/>
    <sheet name="Sales Summary Charts" sheetId="53" r:id="rId26"/>
    <sheet name="Key Metrics Charts" sheetId="54" r:id="rId27"/>
    <sheet name="Charts" sheetId="55" r:id="rId28"/>
    <sheet name="BEA" sheetId="3" r:id="rId29"/>
    <sheet name="Top Expenses" sheetId="9" r:id="rId30"/>
    <sheet name="Salaries Assumptions" sheetId="11" r:id="rId31"/>
    <sheet name="Services Assumptions " sheetId="47" r:id="rId32"/>
    <sheet name="COGS Assumptions" sheetId="48" r:id="rId33"/>
    <sheet name="Servcies Team Upselling %" sheetId="16" r:id="rId34"/>
    <sheet name="KPI Stage Financials" sheetId="17" r:id="rId35"/>
    <sheet name="KPI Spend" sheetId="15" r:id="rId36"/>
    <sheet name="Benchmarking Plan Over Time" sheetId="21" r:id="rId37"/>
    <sheet name="TimeData" sheetId="20" r:id="rId38"/>
    <sheet name="Unit Usage" sheetId="10" r:id="rId39"/>
    <sheet name="Calculations" sheetId="2" r:id="rId4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7" l="1"/>
  <c r="H19" i="27"/>
  <c r="I19" i="27"/>
  <c r="J19" i="27"/>
  <c r="K19" i="27"/>
  <c r="L19" i="27"/>
  <c r="M19" i="27"/>
  <c r="N19" i="27"/>
  <c r="O19" i="27"/>
  <c r="P19" i="27"/>
  <c r="Q19" i="27"/>
  <c r="R19" i="27"/>
  <c r="S19" i="27"/>
  <c r="T19" i="27"/>
  <c r="F19" i="27"/>
  <c r="BA45" i="2"/>
  <c r="BB45" i="2"/>
  <c r="BC45" i="2"/>
  <c r="BD45" i="2"/>
  <c r="BE45" i="2"/>
  <c r="BF45" i="2"/>
  <c r="BG45" i="2"/>
  <c r="BH45" i="2"/>
  <c r="BI45" i="2"/>
  <c r="BJ45" i="2"/>
  <c r="BK45" i="2"/>
  <c r="BL45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Q45" i="2"/>
  <c r="R45" i="2"/>
  <c r="S45" i="2"/>
  <c r="T45" i="2"/>
  <c r="U45" i="2"/>
  <c r="V45" i="2"/>
  <c r="W45" i="2"/>
  <c r="X45" i="2"/>
  <c r="Y45" i="2"/>
  <c r="Z45" i="2"/>
  <c r="AA45" i="2"/>
  <c r="AB45" i="2"/>
  <c r="E45" i="2"/>
  <c r="F45" i="2"/>
  <c r="G45" i="2"/>
  <c r="H45" i="2"/>
  <c r="I45" i="2"/>
  <c r="J45" i="2"/>
  <c r="K45" i="2"/>
  <c r="L45" i="2"/>
  <c r="M45" i="2"/>
  <c r="N45" i="2"/>
  <c r="O45" i="2"/>
  <c r="P45" i="2"/>
  <c r="E41" i="2"/>
  <c r="F41" i="2"/>
  <c r="G41" i="2"/>
  <c r="H41" i="2"/>
  <c r="I41" i="2"/>
  <c r="J41" i="2"/>
  <c r="K41" i="2"/>
  <c r="L41" i="2"/>
  <c r="M41" i="2"/>
  <c r="N41" i="2"/>
  <c r="O41" i="2"/>
  <c r="P41" i="2"/>
  <c r="C32" i="11"/>
  <c r="C33" i="11"/>
  <c r="C34" i="11"/>
  <c r="C35" i="11"/>
  <c r="C36" i="11"/>
  <c r="C37" i="11"/>
  <c r="C38" i="11"/>
  <c r="C39" i="11"/>
  <c r="C40" i="11"/>
  <c r="C31" i="11"/>
  <c r="C30" i="11"/>
  <c r="G37" i="52"/>
  <c r="H37" i="52"/>
  <c r="I37" i="52"/>
  <c r="J37" i="52"/>
  <c r="K37" i="52"/>
  <c r="L37" i="52"/>
  <c r="M37" i="52"/>
  <c r="N37" i="52"/>
  <c r="O37" i="52"/>
  <c r="P37" i="52"/>
  <c r="Q37" i="52"/>
  <c r="F37" i="52"/>
  <c r="G34" i="52"/>
  <c r="H34" i="52"/>
  <c r="I34" i="52"/>
  <c r="J34" i="52"/>
  <c r="K34" i="52"/>
  <c r="L34" i="52"/>
  <c r="M34" i="52"/>
  <c r="N34" i="52"/>
  <c r="O34" i="52"/>
  <c r="P34" i="52"/>
  <c r="Q34" i="52"/>
  <c r="F34" i="52"/>
  <c r="G31" i="52"/>
  <c r="H31" i="52"/>
  <c r="I31" i="52"/>
  <c r="J31" i="52"/>
  <c r="K31" i="52"/>
  <c r="L31" i="52"/>
  <c r="M31" i="52"/>
  <c r="N31" i="52"/>
  <c r="O31" i="52"/>
  <c r="P31" i="52"/>
  <c r="Q31" i="52"/>
  <c r="F31" i="52"/>
  <c r="G28" i="52"/>
  <c r="H28" i="52"/>
  <c r="I28" i="52"/>
  <c r="J28" i="52"/>
  <c r="K28" i="52"/>
  <c r="L28" i="52"/>
  <c r="M28" i="52"/>
  <c r="N28" i="52"/>
  <c r="O28" i="52"/>
  <c r="P28" i="52"/>
  <c r="Q28" i="52"/>
  <c r="F28" i="52"/>
  <c r="G25" i="52"/>
  <c r="H25" i="52"/>
  <c r="I25" i="52"/>
  <c r="J25" i="52"/>
  <c r="K25" i="52"/>
  <c r="L25" i="52"/>
  <c r="M25" i="52"/>
  <c r="N25" i="52"/>
  <c r="O25" i="52"/>
  <c r="P25" i="52"/>
  <c r="Q25" i="52"/>
  <c r="F25" i="52"/>
  <c r="G37" i="51"/>
  <c r="H37" i="51"/>
  <c r="I37" i="51"/>
  <c r="J37" i="51"/>
  <c r="K37" i="51"/>
  <c r="L37" i="51"/>
  <c r="M37" i="51"/>
  <c r="N37" i="51"/>
  <c r="O37" i="51"/>
  <c r="P37" i="51"/>
  <c r="Q37" i="51"/>
  <c r="F37" i="51"/>
  <c r="G34" i="51"/>
  <c r="H34" i="51"/>
  <c r="I34" i="51"/>
  <c r="J34" i="51"/>
  <c r="K34" i="51"/>
  <c r="L34" i="51"/>
  <c r="M34" i="51"/>
  <c r="N34" i="51"/>
  <c r="O34" i="51"/>
  <c r="P34" i="51"/>
  <c r="Q34" i="51"/>
  <c r="F34" i="51"/>
  <c r="G31" i="51"/>
  <c r="H31" i="51"/>
  <c r="I31" i="51"/>
  <c r="J31" i="51"/>
  <c r="K31" i="51"/>
  <c r="L31" i="51"/>
  <c r="M31" i="51"/>
  <c r="N31" i="51"/>
  <c r="O31" i="51"/>
  <c r="P31" i="51"/>
  <c r="Q31" i="51"/>
  <c r="F31" i="51"/>
  <c r="G28" i="51"/>
  <c r="H28" i="51"/>
  <c r="I28" i="51"/>
  <c r="J28" i="51"/>
  <c r="K28" i="51"/>
  <c r="L28" i="51"/>
  <c r="M28" i="51"/>
  <c r="N28" i="51"/>
  <c r="O28" i="51"/>
  <c r="P28" i="51"/>
  <c r="Q28" i="51"/>
  <c r="F28" i="51"/>
  <c r="G25" i="51"/>
  <c r="H25" i="51"/>
  <c r="I25" i="51"/>
  <c r="J25" i="51"/>
  <c r="K25" i="51"/>
  <c r="L25" i="51"/>
  <c r="M25" i="51"/>
  <c r="N25" i="51"/>
  <c r="O25" i="51"/>
  <c r="P25" i="51"/>
  <c r="Q25" i="51"/>
  <c r="F25" i="51"/>
  <c r="G37" i="50"/>
  <c r="H37" i="50"/>
  <c r="I37" i="50"/>
  <c r="J37" i="50"/>
  <c r="K37" i="50"/>
  <c r="L37" i="50"/>
  <c r="M37" i="50"/>
  <c r="N37" i="50"/>
  <c r="O37" i="50"/>
  <c r="P37" i="50"/>
  <c r="Q37" i="50"/>
  <c r="F37" i="50"/>
  <c r="G34" i="50"/>
  <c r="H34" i="50"/>
  <c r="I34" i="50"/>
  <c r="J34" i="50"/>
  <c r="K34" i="50"/>
  <c r="L34" i="50"/>
  <c r="M34" i="50"/>
  <c r="N34" i="50"/>
  <c r="O34" i="50"/>
  <c r="P34" i="50"/>
  <c r="Q34" i="50"/>
  <c r="F34" i="50"/>
  <c r="G31" i="50"/>
  <c r="H31" i="50"/>
  <c r="I31" i="50"/>
  <c r="J31" i="50"/>
  <c r="K31" i="50"/>
  <c r="L31" i="50"/>
  <c r="M31" i="50"/>
  <c r="N31" i="50"/>
  <c r="O31" i="50"/>
  <c r="P31" i="50"/>
  <c r="Q31" i="50"/>
  <c r="F31" i="50"/>
  <c r="G28" i="50"/>
  <c r="H28" i="50"/>
  <c r="I28" i="50"/>
  <c r="J28" i="50"/>
  <c r="K28" i="50"/>
  <c r="L28" i="50"/>
  <c r="M28" i="50"/>
  <c r="N28" i="50"/>
  <c r="O28" i="50"/>
  <c r="P28" i="50"/>
  <c r="Q28" i="50"/>
  <c r="F28" i="50"/>
  <c r="G25" i="50"/>
  <c r="H25" i="50"/>
  <c r="I25" i="50"/>
  <c r="J25" i="50"/>
  <c r="K25" i="50"/>
  <c r="L25" i="50"/>
  <c r="M25" i="50"/>
  <c r="N25" i="50"/>
  <c r="O25" i="50"/>
  <c r="P25" i="50"/>
  <c r="Q25" i="50"/>
  <c r="F25" i="50"/>
  <c r="I51" i="39"/>
  <c r="Q51" i="39"/>
  <c r="H19" i="39"/>
  <c r="H51" i="39" s="1"/>
  <c r="I19" i="39"/>
  <c r="J19" i="39"/>
  <c r="J51" i="39" s="1"/>
  <c r="K19" i="39"/>
  <c r="K51" i="39" s="1"/>
  <c r="L19" i="39"/>
  <c r="L51" i="39" s="1"/>
  <c r="M19" i="39"/>
  <c r="M51" i="39" s="1"/>
  <c r="N19" i="39"/>
  <c r="N51" i="39" s="1"/>
  <c r="O19" i="39"/>
  <c r="O51" i="39" s="1"/>
  <c r="P19" i="39"/>
  <c r="P51" i="39" s="1"/>
  <c r="Q19" i="39"/>
  <c r="R19" i="39"/>
  <c r="R51" i="39" s="1"/>
  <c r="G19" i="39"/>
  <c r="G51" i="39" s="1"/>
  <c r="H18" i="39"/>
  <c r="I18" i="39"/>
  <c r="G18" i="39"/>
  <c r="G60" i="29"/>
  <c r="H60" i="29"/>
  <c r="I60" i="29"/>
  <c r="J60" i="29"/>
  <c r="K60" i="29"/>
  <c r="L60" i="29"/>
  <c r="M60" i="29"/>
  <c r="N60" i="29"/>
  <c r="O60" i="29"/>
  <c r="P60" i="29"/>
  <c r="Q60" i="29"/>
  <c r="F60" i="29"/>
  <c r="J51" i="38"/>
  <c r="L51" i="38"/>
  <c r="R51" i="38"/>
  <c r="T51" i="38"/>
  <c r="H19" i="38"/>
  <c r="H51" i="38" s="1"/>
  <c r="I19" i="38"/>
  <c r="I51" i="38" s="1"/>
  <c r="J19" i="38"/>
  <c r="K19" i="38"/>
  <c r="K51" i="38" s="1"/>
  <c r="L19" i="38"/>
  <c r="M19" i="38"/>
  <c r="M51" i="38" s="1"/>
  <c r="N19" i="38"/>
  <c r="N51" i="38" s="1"/>
  <c r="O19" i="38"/>
  <c r="O51" i="38" s="1"/>
  <c r="P19" i="38"/>
  <c r="P51" i="38" s="1"/>
  <c r="Q19" i="38"/>
  <c r="Q51" i="38" s="1"/>
  <c r="R19" i="38"/>
  <c r="S19" i="38"/>
  <c r="S51" i="38" s="1"/>
  <c r="T19" i="38"/>
  <c r="U19" i="38"/>
  <c r="U51" i="38" s="1"/>
  <c r="G19" i="38"/>
  <c r="G51" i="38" s="1"/>
  <c r="H18" i="38"/>
  <c r="I18" i="38"/>
  <c r="G18" i="38"/>
  <c r="G60" i="28"/>
  <c r="H60" i="28"/>
  <c r="I60" i="28"/>
  <c r="J60" i="28"/>
  <c r="K60" i="28"/>
  <c r="L60" i="28"/>
  <c r="M60" i="28"/>
  <c r="N60" i="28"/>
  <c r="O60" i="28"/>
  <c r="P60" i="28"/>
  <c r="Q60" i="28"/>
  <c r="R60" i="28"/>
  <c r="S60" i="28"/>
  <c r="T60" i="28"/>
  <c r="U60" i="28"/>
  <c r="F60" i="28"/>
  <c r="O51" i="37"/>
  <c r="T51" i="37"/>
  <c r="U51" i="37"/>
  <c r="O19" i="37"/>
  <c r="P19" i="37"/>
  <c r="P51" i="37" s="1"/>
  <c r="Q19" i="37"/>
  <c r="Q51" i="37" s="1"/>
  <c r="R19" i="37"/>
  <c r="R51" i="37" s="1"/>
  <c r="S19" i="37"/>
  <c r="S51" i="37" s="1"/>
  <c r="T19" i="37"/>
  <c r="U19" i="37"/>
  <c r="H18" i="37"/>
  <c r="I18" i="37"/>
  <c r="G18" i="37"/>
  <c r="V34" i="37"/>
  <c r="O62" i="27"/>
  <c r="P62" i="27"/>
  <c r="Q62" i="27"/>
  <c r="R62" i="27"/>
  <c r="S62" i="27"/>
  <c r="T62" i="27"/>
  <c r="V34" i="24"/>
  <c r="G19" i="24"/>
  <c r="G51" i="24" s="1"/>
  <c r="F62" i="23"/>
  <c r="H34" i="49"/>
  <c r="I34" i="49"/>
  <c r="J34" i="49"/>
  <c r="K34" i="49"/>
  <c r="L34" i="49"/>
  <c r="M34" i="49"/>
  <c r="N34" i="49"/>
  <c r="O34" i="49"/>
  <c r="P34" i="49"/>
  <c r="Q34" i="49"/>
  <c r="R34" i="49"/>
  <c r="G34" i="49"/>
  <c r="H31" i="49"/>
  <c r="I31" i="49"/>
  <c r="J31" i="49"/>
  <c r="K31" i="49"/>
  <c r="L31" i="49"/>
  <c r="M31" i="49"/>
  <c r="N31" i="49"/>
  <c r="O31" i="49"/>
  <c r="P31" i="49"/>
  <c r="Q31" i="49"/>
  <c r="R31" i="49"/>
  <c r="G31" i="49"/>
  <c r="H28" i="49"/>
  <c r="I28" i="49"/>
  <c r="J28" i="49"/>
  <c r="K28" i="49"/>
  <c r="L28" i="49"/>
  <c r="M28" i="49"/>
  <c r="N28" i="49"/>
  <c r="O28" i="49"/>
  <c r="P28" i="49"/>
  <c r="Q28" i="49"/>
  <c r="R28" i="49"/>
  <c r="G28" i="49"/>
  <c r="L55" i="31"/>
  <c r="M55" i="31"/>
  <c r="N55" i="31"/>
  <c r="O55" i="31"/>
  <c r="P55" i="31"/>
  <c r="Q55" i="31"/>
  <c r="R55" i="31"/>
  <c r="S55" i="31"/>
  <c r="T55" i="31"/>
  <c r="U55" i="31"/>
  <c r="V55" i="31"/>
  <c r="K55" i="31"/>
  <c r="I47" i="45"/>
  <c r="I51" i="45"/>
  <c r="I53" i="45"/>
  <c r="I55" i="45"/>
  <c r="I59" i="45"/>
  <c r="I47" i="44"/>
  <c r="I51" i="44"/>
  <c r="I53" i="44"/>
  <c r="I55" i="44"/>
  <c r="I59" i="44"/>
  <c r="I47" i="32"/>
  <c r="I51" i="32"/>
  <c r="I53" i="32"/>
  <c r="I55" i="32"/>
  <c r="I59" i="32"/>
  <c r="I47" i="31"/>
  <c r="I51" i="31"/>
  <c r="I53" i="31"/>
  <c r="I55" i="31"/>
  <c r="I59" i="31"/>
  <c r="I46" i="30"/>
  <c r="I50" i="30"/>
  <c r="I52" i="30"/>
  <c r="I54" i="30"/>
  <c r="I58" i="30"/>
  <c r="H47" i="45"/>
  <c r="H51" i="45"/>
  <c r="H53" i="45"/>
  <c r="H55" i="45"/>
  <c r="H59" i="45"/>
  <c r="H47" i="44"/>
  <c r="H51" i="44"/>
  <c r="H53" i="44"/>
  <c r="H55" i="44"/>
  <c r="H59" i="44"/>
  <c r="H47" i="32"/>
  <c r="H51" i="32"/>
  <c r="H53" i="32"/>
  <c r="H55" i="32"/>
  <c r="H59" i="32"/>
  <c r="H47" i="31"/>
  <c r="H51" i="31"/>
  <c r="H53" i="31"/>
  <c r="H55" i="31"/>
  <c r="H59" i="31"/>
  <c r="H46" i="30"/>
  <c r="H50" i="30"/>
  <c r="H52" i="30"/>
  <c r="H54" i="30"/>
  <c r="H58" i="30"/>
  <c r="G53" i="45"/>
  <c r="G55" i="45"/>
  <c r="G59" i="45"/>
  <c r="G53" i="44"/>
  <c r="G55" i="44"/>
  <c r="G59" i="44"/>
  <c r="G53" i="32"/>
  <c r="G55" i="32"/>
  <c r="G59" i="32"/>
  <c r="G53" i="31"/>
  <c r="G55" i="31"/>
  <c r="G59" i="31"/>
  <c r="G52" i="30"/>
  <c r="G54" i="30"/>
  <c r="G58" i="30"/>
  <c r="F55" i="45"/>
  <c r="F59" i="45"/>
  <c r="F55" i="44"/>
  <c r="F59" i="44"/>
  <c r="F55" i="32"/>
  <c r="F59" i="32"/>
  <c r="F55" i="31"/>
  <c r="F59" i="31"/>
  <c r="F54" i="30"/>
  <c r="F58" i="30"/>
  <c r="E55" i="45"/>
  <c r="E59" i="45"/>
  <c r="E55" i="44"/>
  <c r="E59" i="44"/>
  <c r="E55" i="32"/>
  <c r="E59" i="32"/>
  <c r="E55" i="31"/>
  <c r="E59" i="31"/>
  <c r="E54" i="30"/>
  <c r="E58" i="30"/>
  <c r="I10" i="45"/>
  <c r="I11" i="45"/>
  <c r="I13" i="45"/>
  <c r="I14" i="45"/>
  <c r="I10" i="44"/>
  <c r="I11" i="44"/>
  <c r="I13" i="44"/>
  <c r="I14" i="44"/>
  <c r="I10" i="32"/>
  <c r="I11" i="32"/>
  <c r="I13" i="32"/>
  <c r="I14" i="32"/>
  <c r="I10" i="31"/>
  <c r="I11" i="31"/>
  <c r="I13" i="31"/>
  <c r="I14" i="31"/>
  <c r="I10" i="30"/>
  <c r="I11" i="30"/>
  <c r="I13" i="30"/>
  <c r="I14" i="30"/>
  <c r="H10" i="45"/>
  <c r="H11" i="45"/>
  <c r="H13" i="45"/>
  <c r="H14" i="45"/>
  <c r="H10" i="44"/>
  <c r="H11" i="44"/>
  <c r="H13" i="44"/>
  <c r="H14" i="44"/>
  <c r="H10" i="32"/>
  <c r="H11" i="32"/>
  <c r="H13" i="32"/>
  <c r="H14" i="32"/>
  <c r="H10" i="31"/>
  <c r="H11" i="31"/>
  <c r="H13" i="31"/>
  <c r="H14" i="31"/>
  <c r="H10" i="30"/>
  <c r="H11" i="30"/>
  <c r="H13" i="30"/>
  <c r="H14" i="30"/>
  <c r="G10" i="45"/>
  <c r="G11" i="45"/>
  <c r="G13" i="45"/>
  <c r="G14" i="45"/>
  <c r="G10" i="44"/>
  <c r="G11" i="44"/>
  <c r="G13" i="44"/>
  <c r="G14" i="44"/>
  <c r="G10" i="32"/>
  <c r="G11" i="32"/>
  <c r="G13" i="32"/>
  <c r="G14" i="32"/>
  <c r="G10" i="31"/>
  <c r="G11" i="31"/>
  <c r="G13" i="31"/>
  <c r="G14" i="31"/>
  <c r="G10" i="30"/>
  <c r="G11" i="30"/>
  <c r="G13" i="30"/>
  <c r="G14" i="30"/>
  <c r="F9" i="45"/>
  <c r="F10" i="45"/>
  <c r="F11" i="45"/>
  <c r="F13" i="45"/>
  <c r="F14" i="45"/>
  <c r="F9" i="44"/>
  <c r="F10" i="44"/>
  <c r="F11" i="44"/>
  <c r="F13" i="44"/>
  <c r="F14" i="44"/>
  <c r="F9" i="32"/>
  <c r="F10" i="32"/>
  <c r="F11" i="32"/>
  <c r="F13" i="32"/>
  <c r="F14" i="32"/>
  <c r="F9" i="31"/>
  <c r="F10" i="31"/>
  <c r="F11" i="31"/>
  <c r="F13" i="31"/>
  <c r="F14" i="31"/>
  <c r="F9" i="30"/>
  <c r="F10" i="30"/>
  <c r="F11" i="30"/>
  <c r="F13" i="30"/>
  <c r="F14" i="30"/>
  <c r="E9" i="45"/>
  <c r="E10" i="45"/>
  <c r="E11" i="45"/>
  <c r="E13" i="45"/>
  <c r="E14" i="45"/>
  <c r="E9" i="44"/>
  <c r="E10" i="44"/>
  <c r="E11" i="44"/>
  <c r="E13" i="44"/>
  <c r="E14" i="44"/>
  <c r="E9" i="32"/>
  <c r="E10" i="32"/>
  <c r="E11" i="32"/>
  <c r="E13" i="32"/>
  <c r="E14" i="32"/>
  <c r="E9" i="31"/>
  <c r="E10" i="31"/>
  <c r="E11" i="31"/>
  <c r="E13" i="31"/>
  <c r="E14" i="31"/>
  <c r="E9" i="30"/>
  <c r="E10" i="30"/>
  <c r="E11" i="30"/>
  <c r="E13" i="30"/>
  <c r="E14" i="30"/>
  <c r="I92" i="45"/>
  <c r="I96" i="45"/>
  <c r="I97" i="45"/>
  <c r="I92" i="44"/>
  <c r="I96" i="44"/>
  <c r="I97" i="44"/>
  <c r="I92" i="32"/>
  <c r="I96" i="32"/>
  <c r="I97" i="32"/>
  <c r="I92" i="31"/>
  <c r="I96" i="31"/>
  <c r="I97" i="31"/>
  <c r="I90" i="30"/>
  <c r="I94" i="30"/>
  <c r="I95" i="30"/>
  <c r="H92" i="45"/>
  <c r="H96" i="45"/>
  <c r="H97" i="45"/>
  <c r="H92" i="44"/>
  <c r="H96" i="44"/>
  <c r="H97" i="44"/>
  <c r="H92" i="32"/>
  <c r="H96" i="32"/>
  <c r="H97" i="32"/>
  <c r="H92" i="31"/>
  <c r="H96" i="31"/>
  <c r="H97" i="31"/>
  <c r="H90" i="30"/>
  <c r="H94" i="30"/>
  <c r="H95" i="30"/>
  <c r="G92" i="45"/>
  <c r="G96" i="45"/>
  <c r="G97" i="45"/>
  <c r="G92" i="44"/>
  <c r="G96" i="44"/>
  <c r="G97" i="44"/>
  <c r="G92" i="32"/>
  <c r="G96" i="32"/>
  <c r="G97" i="32"/>
  <c r="G92" i="31"/>
  <c r="G96" i="31"/>
  <c r="G97" i="31"/>
  <c r="G90" i="30"/>
  <c r="G94" i="30"/>
  <c r="G95" i="30"/>
  <c r="F96" i="45"/>
  <c r="F97" i="45"/>
  <c r="F96" i="44"/>
  <c r="F97" i="44"/>
  <c r="F96" i="32"/>
  <c r="F97" i="32"/>
  <c r="F96" i="31"/>
  <c r="F97" i="31"/>
  <c r="F94" i="30"/>
  <c r="F95" i="30"/>
  <c r="E94" i="30"/>
  <c r="E95" i="30"/>
  <c r="E96" i="45"/>
  <c r="E97" i="45"/>
  <c r="E96" i="44"/>
  <c r="E97" i="44"/>
  <c r="E96" i="32"/>
  <c r="E97" i="32"/>
  <c r="E96" i="31"/>
  <c r="E97" i="31"/>
  <c r="G20" i="48"/>
  <c r="H20" i="48"/>
  <c r="I20" i="48"/>
  <c r="J20" i="48"/>
  <c r="K20" i="48"/>
  <c r="L20" i="48"/>
  <c r="M20" i="48"/>
  <c r="N20" i="48"/>
  <c r="O20" i="48"/>
  <c r="P20" i="48"/>
  <c r="Q20" i="48"/>
  <c r="R20" i="48"/>
  <c r="S20" i="48"/>
  <c r="G21" i="48"/>
  <c r="H21" i="48"/>
  <c r="I21" i="48"/>
  <c r="J21" i="48"/>
  <c r="K21" i="48"/>
  <c r="L21" i="48"/>
  <c r="M21" i="48"/>
  <c r="N21" i="48"/>
  <c r="O21" i="48"/>
  <c r="P21" i="48"/>
  <c r="Q21" i="48"/>
  <c r="R21" i="48"/>
  <c r="S21" i="48"/>
  <c r="G22" i="48"/>
  <c r="H22" i="48"/>
  <c r="I22" i="48"/>
  <c r="J22" i="48"/>
  <c r="K22" i="48"/>
  <c r="L22" i="48"/>
  <c r="M22" i="48"/>
  <c r="N22" i="48"/>
  <c r="O22" i="48"/>
  <c r="P22" i="48"/>
  <c r="Q22" i="48"/>
  <c r="R22" i="48"/>
  <c r="S22" i="48"/>
  <c r="H19" i="48"/>
  <c r="I19" i="48"/>
  <c r="J19" i="48"/>
  <c r="K19" i="48"/>
  <c r="L19" i="48"/>
  <c r="M19" i="48"/>
  <c r="N19" i="48"/>
  <c r="O19" i="48"/>
  <c r="P19" i="48"/>
  <c r="Q19" i="48"/>
  <c r="R19" i="48"/>
  <c r="S19" i="48"/>
  <c r="G19" i="48"/>
  <c r="J34" i="11"/>
  <c r="K34" i="11"/>
  <c r="L34" i="11"/>
  <c r="M34" i="11"/>
  <c r="N34" i="11"/>
  <c r="O34" i="11"/>
  <c r="P34" i="11"/>
  <c r="Q34" i="11"/>
  <c r="J35" i="11"/>
  <c r="K35" i="11"/>
  <c r="L35" i="11"/>
  <c r="M35" i="11"/>
  <c r="N35" i="11"/>
  <c r="O35" i="11"/>
  <c r="P35" i="11"/>
  <c r="Q35" i="11"/>
  <c r="J36" i="11"/>
  <c r="K36" i="11"/>
  <c r="L36" i="11"/>
  <c r="M36" i="11"/>
  <c r="N36" i="11"/>
  <c r="O36" i="11"/>
  <c r="P36" i="11"/>
  <c r="Q36" i="11"/>
  <c r="J37" i="11"/>
  <c r="K37" i="11"/>
  <c r="L37" i="11"/>
  <c r="M37" i="11"/>
  <c r="N37" i="11"/>
  <c r="O37" i="11"/>
  <c r="P37" i="11"/>
  <c r="Q37" i="11"/>
  <c r="J38" i="11"/>
  <c r="K38" i="11"/>
  <c r="L38" i="11"/>
  <c r="M38" i="11"/>
  <c r="N38" i="11"/>
  <c r="O38" i="11"/>
  <c r="P38" i="11"/>
  <c r="Q38" i="11"/>
  <c r="J39" i="11"/>
  <c r="K39" i="11"/>
  <c r="L39" i="11"/>
  <c r="M39" i="11"/>
  <c r="N39" i="11"/>
  <c r="O39" i="11"/>
  <c r="P39" i="11"/>
  <c r="Q39" i="11"/>
  <c r="J40" i="11"/>
  <c r="K40" i="11"/>
  <c r="L40" i="11"/>
  <c r="M40" i="11"/>
  <c r="N40" i="11"/>
  <c r="O40" i="11"/>
  <c r="P40" i="11"/>
  <c r="Q40" i="11"/>
  <c r="H34" i="11"/>
  <c r="H35" i="11"/>
  <c r="H36" i="11"/>
  <c r="H37" i="11"/>
  <c r="H38" i="11"/>
  <c r="H39" i="11"/>
  <c r="H40" i="11"/>
  <c r="I34" i="11"/>
  <c r="I35" i="11"/>
  <c r="I36" i="11"/>
  <c r="I37" i="11"/>
  <c r="I38" i="11"/>
  <c r="I39" i="11"/>
  <c r="I40" i="11"/>
  <c r="S34" i="33" l="1"/>
  <c r="G25" i="33"/>
  <c r="H25" i="33"/>
  <c r="I25" i="33"/>
  <c r="G26" i="33"/>
  <c r="H26" i="33"/>
  <c r="I26" i="33"/>
  <c r="G27" i="33"/>
  <c r="H27" i="33"/>
  <c r="I27" i="33"/>
  <c r="G29" i="33"/>
  <c r="H29" i="33"/>
  <c r="I29" i="33"/>
  <c r="G30" i="33"/>
  <c r="H30" i="33"/>
  <c r="I30" i="33"/>
  <c r="G31" i="33"/>
  <c r="H31" i="33"/>
  <c r="I31" i="33"/>
  <c r="G32" i="33"/>
  <c r="H32" i="33"/>
  <c r="I32" i="33"/>
  <c r="G33" i="33"/>
  <c r="H33" i="33"/>
  <c r="I33" i="33"/>
  <c r="G34" i="33"/>
  <c r="H34" i="33"/>
  <c r="I34" i="33"/>
  <c r="G35" i="33"/>
  <c r="H35" i="33"/>
  <c r="I35" i="33"/>
  <c r="G36" i="33"/>
  <c r="H36" i="33"/>
  <c r="I36" i="33"/>
  <c r="G37" i="33"/>
  <c r="H37" i="33"/>
  <c r="I37" i="33"/>
  <c r="G38" i="33"/>
  <c r="H38" i="33"/>
  <c r="I38" i="33"/>
  <c r="G39" i="33"/>
  <c r="H39" i="33"/>
  <c r="I39" i="33"/>
  <c r="G40" i="33"/>
  <c r="H40" i="33"/>
  <c r="I40" i="33"/>
  <c r="G41" i="33"/>
  <c r="H41" i="33"/>
  <c r="I41" i="33"/>
  <c r="G42" i="33"/>
  <c r="H42" i="33"/>
  <c r="I42" i="33"/>
  <c r="S25" i="33"/>
  <c r="T25" i="33"/>
  <c r="U25" i="33"/>
  <c r="S26" i="33"/>
  <c r="T26" i="33"/>
  <c r="U26" i="33"/>
  <c r="S27" i="33"/>
  <c r="T27" i="33"/>
  <c r="U27" i="33"/>
  <c r="S29" i="33"/>
  <c r="T29" i="33"/>
  <c r="U29" i="33"/>
  <c r="S30" i="33"/>
  <c r="T30" i="33"/>
  <c r="U30" i="33"/>
  <c r="S31" i="33"/>
  <c r="T31" i="33"/>
  <c r="U31" i="33"/>
  <c r="S32" i="33"/>
  <c r="T32" i="33"/>
  <c r="U32" i="33"/>
  <c r="S33" i="33"/>
  <c r="T33" i="33"/>
  <c r="U33" i="33"/>
  <c r="T34" i="33"/>
  <c r="U34" i="33"/>
  <c r="S35" i="33"/>
  <c r="T35" i="33"/>
  <c r="U35" i="33"/>
  <c r="S36" i="33"/>
  <c r="T36" i="33"/>
  <c r="U36" i="33"/>
  <c r="S37" i="33"/>
  <c r="T37" i="33"/>
  <c r="U37" i="33"/>
  <c r="S38" i="33"/>
  <c r="T38" i="33"/>
  <c r="U38" i="33"/>
  <c r="S39" i="33"/>
  <c r="T39" i="33"/>
  <c r="U39" i="33"/>
  <c r="S40" i="33"/>
  <c r="T40" i="33"/>
  <c r="U40" i="33"/>
  <c r="S41" i="33"/>
  <c r="T41" i="33"/>
  <c r="U41" i="33"/>
  <c r="S42" i="33"/>
  <c r="T42" i="33"/>
  <c r="U42" i="33"/>
  <c r="S25" i="38"/>
  <c r="T25" i="38"/>
  <c r="U25" i="38"/>
  <c r="S26" i="38"/>
  <c r="T26" i="38"/>
  <c r="U26" i="38"/>
  <c r="S27" i="38"/>
  <c r="T27" i="38"/>
  <c r="U27" i="38"/>
  <c r="S29" i="38"/>
  <c r="T29" i="38"/>
  <c r="U29" i="38"/>
  <c r="S30" i="38"/>
  <c r="T30" i="38"/>
  <c r="U30" i="38"/>
  <c r="S31" i="38"/>
  <c r="T31" i="38"/>
  <c r="U31" i="38"/>
  <c r="S32" i="38"/>
  <c r="T32" i="38"/>
  <c r="U32" i="38"/>
  <c r="S33" i="38"/>
  <c r="T33" i="38"/>
  <c r="U33" i="38"/>
  <c r="S35" i="38"/>
  <c r="T35" i="38"/>
  <c r="U35" i="38"/>
  <c r="S36" i="38"/>
  <c r="T36" i="38"/>
  <c r="U36" i="38"/>
  <c r="S37" i="38"/>
  <c r="T37" i="38"/>
  <c r="U37" i="38"/>
  <c r="S38" i="38"/>
  <c r="T38" i="38"/>
  <c r="U38" i="38"/>
  <c r="S39" i="38"/>
  <c r="T39" i="38"/>
  <c r="U39" i="38"/>
  <c r="S40" i="38"/>
  <c r="T40" i="38"/>
  <c r="U40" i="38"/>
  <c r="S41" i="38"/>
  <c r="T41" i="38"/>
  <c r="U41" i="38"/>
  <c r="S42" i="38"/>
  <c r="T42" i="38"/>
  <c r="U42" i="38"/>
  <c r="S25" i="37"/>
  <c r="T25" i="37"/>
  <c r="U25" i="37"/>
  <c r="S26" i="37"/>
  <c r="T26" i="37"/>
  <c r="U26" i="37"/>
  <c r="S27" i="37"/>
  <c r="T27" i="37"/>
  <c r="U27" i="37"/>
  <c r="S29" i="37"/>
  <c r="T29" i="37"/>
  <c r="U29" i="37"/>
  <c r="S30" i="37"/>
  <c r="T30" i="37"/>
  <c r="U30" i="37"/>
  <c r="S31" i="37"/>
  <c r="T31" i="37"/>
  <c r="U31" i="37"/>
  <c r="S32" i="37"/>
  <c r="T32" i="37"/>
  <c r="U32" i="37"/>
  <c r="S33" i="37"/>
  <c r="T33" i="37"/>
  <c r="U33" i="37"/>
  <c r="S35" i="37"/>
  <c r="T35" i="37"/>
  <c r="U35" i="37"/>
  <c r="S36" i="37"/>
  <c r="T36" i="37"/>
  <c r="U36" i="37"/>
  <c r="S37" i="37"/>
  <c r="T37" i="37"/>
  <c r="U37" i="37"/>
  <c r="S38" i="37"/>
  <c r="T38" i="37"/>
  <c r="U38" i="37"/>
  <c r="S39" i="37"/>
  <c r="T39" i="37"/>
  <c r="U39" i="37"/>
  <c r="S40" i="37"/>
  <c r="T40" i="37"/>
  <c r="U40" i="37"/>
  <c r="S41" i="37"/>
  <c r="T41" i="37"/>
  <c r="U41" i="37"/>
  <c r="S42" i="37"/>
  <c r="T42" i="37"/>
  <c r="U42" i="37"/>
  <c r="G18" i="33"/>
  <c r="H18" i="33"/>
  <c r="I18" i="33"/>
  <c r="P21" i="52"/>
  <c r="P12" i="52"/>
  <c r="P9" i="52"/>
  <c r="P15" i="52" s="1"/>
  <c r="P18" i="52" s="1"/>
  <c r="O21" i="52"/>
  <c r="O12" i="52"/>
  <c r="O9" i="52"/>
  <c r="N21" i="52"/>
  <c r="N12" i="52"/>
  <c r="N9" i="52"/>
  <c r="N15" i="52" s="1"/>
  <c r="N18" i="52" s="1"/>
  <c r="M21" i="52"/>
  <c r="M12" i="52"/>
  <c r="M9" i="52"/>
  <c r="L21" i="52"/>
  <c r="L12" i="52"/>
  <c r="L9" i="52"/>
  <c r="K21" i="52"/>
  <c r="K12" i="52"/>
  <c r="K9" i="52"/>
  <c r="J21" i="52"/>
  <c r="J12" i="52"/>
  <c r="J9" i="52"/>
  <c r="J15" i="52" s="1"/>
  <c r="J18" i="52" s="1"/>
  <c r="I21" i="52"/>
  <c r="I12" i="52"/>
  <c r="I9" i="52"/>
  <c r="I15" i="52" s="1"/>
  <c r="I18" i="52" s="1"/>
  <c r="H21" i="52"/>
  <c r="H12" i="52"/>
  <c r="H9" i="52"/>
  <c r="G21" i="52"/>
  <c r="G12" i="52"/>
  <c r="G9" i="52"/>
  <c r="F21" i="52"/>
  <c r="F12" i="52"/>
  <c r="F9" i="52"/>
  <c r="F15" i="52" s="1"/>
  <c r="F18" i="52" s="1"/>
  <c r="J55" i="52"/>
  <c r="I55" i="52"/>
  <c r="H55" i="52"/>
  <c r="G55" i="52"/>
  <c r="F55" i="52"/>
  <c r="J50" i="52"/>
  <c r="I50" i="52"/>
  <c r="H50" i="52"/>
  <c r="G50" i="52"/>
  <c r="F50" i="52"/>
  <c r="J49" i="52"/>
  <c r="I49" i="52"/>
  <c r="J48" i="52"/>
  <c r="I48" i="52"/>
  <c r="H48" i="52"/>
  <c r="J45" i="52"/>
  <c r="I45" i="52"/>
  <c r="Q21" i="52"/>
  <c r="Q12" i="52"/>
  <c r="Q9" i="52"/>
  <c r="Q15" i="52" s="1"/>
  <c r="Q18" i="52" s="1"/>
  <c r="P21" i="51"/>
  <c r="P12" i="51"/>
  <c r="P9" i="51"/>
  <c r="O21" i="51"/>
  <c r="O12" i="51"/>
  <c r="O9" i="51"/>
  <c r="N21" i="51"/>
  <c r="N12" i="51"/>
  <c r="N9" i="51"/>
  <c r="M21" i="51"/>
  <c r="M12" i="51"/>
  <c r="M9" i="51"/>
  <c r="L21" i="51"/>
  <c r="L12" i="51"/>
  <c r="L15" i="51" s="1"/>
  <c r="L18" i="51" s="1"/>
  <c r="L9" i="51"/>
  <c r="K21" i="51"/>
  <c r="K12" i="51"/>
  <c r="K9" i="51"/>
  <c r="J21" i="51"/>
  <c r="J12" i="51"/>
  <c r="J9" i="51"/>
  <c r="I21" i="51"/>
  <c r="I12" i="51"/>
  <c r="I9" i="51"/>
  <c r="H21" i="51"/>
  <c r="H12" i="51"/>
  <c r="H9" i="51"/>
  <c r="G21" i="51"/>
  <c r="G12" i="51"/>
  <c r="G9" i="51"/>
  <c r="F21" i="51"/>
  <c r="F12" i="51"/>
  <c r="F9" i="51"/>
  <c r="J55" i="51"/>
  <c r="I55" i="51"/>
  <c r="H55" i="51"/>
  <c r="G55" i="51"/>
  <c r="F55" i="51"/>
  <c r="J50" i="51"/>
  <c r="I50" i="51"/>
  <c r="H50" i="51"/>
  <c r="G50" i="51"/>
  <c r="F50" i="51"/>
  <c r="J49" i="51"/>
  <c r="I49" i="51"/>
  <c r="J48" i="51"/>
  <c r="I48" i="51"/>
  <c r="H48" i="51"/>
  <c r="J45" i="51"/>
  <c r="I45" i="51"/>
  <c r="Q21" i="51"/>
  <c r="Q12" i="51"/>
  <c r="Q9" i="51"/>
  <c r="J55" i="50"/>
  <c r="I55" i="50"/>
  <c r="H55" i="50"/>
  <c r="G55" i="50"/>
  <c r="F55" i="50"/>
  <c r="J50" i="50"/>
  <c r="I50" i="50"/>
  <c r="H50" i="50"/>
  <c r="G50" i="50"/>
  <c r="F50" i="50"/>
  <c r="J49" i="50"/>
  <c r="I49" i="50"/>
  <c r="J48" i="50"/>
  <c r="I48" i="50"/>
  <c r="H48" i="50"/>
  <c r="J45" i="50"/>
  <c r="I45" i="50"/>
  <c r="Q21" i="50"/>
  <c r="P21" i="50"/>
  <c r="O21" i="50"/>
  <c r="N21" i="50"/>
  <c r="M21" i="50"/>
  <c r="L21" i="50"/>
  <c r="K21" i="50"/>
  <c r="J21" i="50"/>
  <c r="I21" i="50"/>
  <c r="H21" i="50"/>
  <c r="G21" i="50"/>
  <c r="F21" i="50"/>
  <c r="Q12" i="50"/>
  <c r="P12" i="50"/>
  <c r="O12" i="50"/>
  <c r="N12" i="50"/>
  <c r="M12" i="50"/>
  <c r="L12" i="50"/>
  <c r="K12" i="50"/>
  <c r="J12" i="50"/>
  <c r="I12" i="50"/>
  <c r="H12" i="50"/>
  <c r="G12" i="50"/>
  <c r="F12" i="50"/>
  <c r="Q9" i="50"/>
  <c r="P9" i="50"/>
  <c r="O9" i="50"/>
  <c r="N9" i="50"/>
  <c r="M9" i="50"/>
  <c r="M15" i="50" s="1"/>
  <c r="M18" i="50" s="1"/>
  <c r="L9" i="50"/>
  <c r="K9" i="50"/>
  <c r="J9" i="50"/>
  <c r="I9" i="50"/>
  <c r="H9" i="50"/>
  <c r="G9" i="50"/>
  <c r="F9" i="50"/>
  <c r="F15" i="50" s="1"/>
  <c r="F18" i="50" s="1"/>
  <c r="Q21" i="49"/>
  <c r="Q12" i="49"/>
  <c r="Q9" i="49"/>
  <c r="P21" i="49"/>
  <c r="P12" i="49"/>
  <c r="P9" i="49"/>
  <c r="O21" i="49"/>
  <c r="O12" i="49"/>
  <c r="O9" i="49"/>
  <c r="N21" i="49"/>
  <c r="N12" i="49"/>
  <c r="N9" i="49"/>
  <c r="M21" i="49"/>
  <c r="M12" i="49"/>
  <c r="M9" i="49"/>
  <c r="L21" i="49"/>
  <c r="L12" i="49"/>
  <c r="L9" i="49"/>
  <c r="K21" i="49"/>
  <c r="K12" i="49"/>
  <c r="K9" i="49"/>
  <c r="J21" i="49"/>
  <c r="J12" i="49"/>
  <c r="J9" i="49"/>
  <c r="I21" i="49"/>
  <c r="I12" i="49"/>
  <c r="I9" i="49"/>
  <c r="H21" i="49"/>
  <c r="H12" i="49"/>
  <c r="H9" i="49"/>
  <c r="G21" i="49"/>
  <c r="G12" i="49"/>
  <c r="G9" i="49"/>
  <c r="K55" i="49"/>
  <c r="J55" i="49"/>
  <c r="I55" i="49"/>
  <c r="H55" i="49"/>
  <c r="G55" i="49"/>
  <c r="K50" i="49"/>
  <c r="J50" i="49"/>
  <c r="I50" i="49"/>
  <c r="H50" i="49"/>
  <c r="G50" i="49"/>
  <c r="K49" i="49"/>
  <c r="J49" i="49"/>
  <c r="K48" i="49"/>
  <c r="J48" i="49"/>
  <c r="I48" i="49"/>
  <c r="K45" i="49"/>
  <c r="J45" i="49"/>
  <c r="R21" i="49"/>
  <c r="R12" i="49"/>
  <c r="R9" i="49"/>
  <c r="R15" i="49" s="1"/>
  <c r="R18" i="49" s="1"/>
  <c r="Q21" i="1"/>
  <c r="Q12" i="1"/>
  <c r="Q9" i="1"/>
  <c r="P21" i="1"/>
  <c r="P12" i="1"/>
  <c r="P9" i="1"/>
  <c r="P15" i="1" s="1"/>
  <c r="P18" i="1" s="1"/>
  <c r="O21" i="1"/>
  <c r="O12" i="1"/>
  <c r="O9" i="1"/>
  <c r="N21" i="1"/>
  <c r="N12" i="1"/>
  <c r="N9" i="1"/>
  <c r="M21" i="1"/>
  <c r="M12" i="1"/>
  <c r="M9" i="1"/>
  <c r="L21" i="1"/>
  <c r="L12" i="1"/>
  <c r="L9" i="1"/>
  <c r="K21" i="1"/>
  <c r="K12" i="1"/>
  <c r="K9" i="1"/>
  <c r="J21" i="1"/>
  <c r="I21" i="1"/>
  <c r="H21" i="1"/>
  <c r="G21" i="1"/>
  <c r="J12" i="1"/>
  <c r="J9" i="1"/>
  <c r="I12" i="1"/>
  <c r="I9" i="1"/>
  <c r="H12" i="1"/>
  <c r="H9" i="1"/>
  <c r="G12" i="1"/>
  <c r="G9" i="1"/>
  <c r="F9" i="1"/>
  <c r="F12" i="1"/>
  <c r="O15" i="52" l="1"/>
  <c r="O18" i="52" s="1"/>
  <c r="O20" i="52" s="1"/>
  <c r="N15" i="51"/>
  <c r="N18" i="51" s="1"/>
  <c r="I15" i="51"/>
  <c r="I18" i="51" s="1"/>
  <c r="J15" i="51"/>
  <c r="J18" i="51" s="1"/>
  <c r="G15" i="50"/>
  <c r="G18" i="50" s="1"/>
  <c r="G20" i="50" s="1"/>
  <c r="O15" i="50"/>
  <c r="O18" i="50" s="1"/>
  <c r="H15" i="50"/>
  <c r="H18" i="50" s="1"/>
  <c r="H20" i="50" s="1"/>
  <c r="Q15" i="50"/>
  <c r="Q18" i="50" s="1"/>
  <c r="J15" i="50"/>
  <c r="J18" i="50" s="1"/>
  <c r="P15" i="50"/>
  <c r="P18" i="50" s="1"/>
  <c r="P22" i="50" s="1"/>
  <c r="G15" i="49"/>
  <c r="G18" i="49" s="1"/>
  <c r="G20" i="49" s="1"/>
  <c r="K15" i="49"/>
  <c r="K18" i="49" s="1"/>
  <c r="K22" i="49" s="1"/>
  <c r="K25" i="49" s="1"/>
  <c r="M15" i="49"/>
  <c r="M18" i="49" s="1"/>
  <c r="M20" i="49" s="1"/>
  <c r="Q15" i="49"/>
  <c r="Q18" i="49" s="1"/>
  <c r="Q22" i="49" s="1"/>
  <c r="Q25" i="49" s="1"/>
  <c r="L15" i="49"/>
  <c r="L18" i="49" s="1"/>
  <c r="L22" i="49" s="1"/>
  <c r="L25" i="49" s="1"/>
  <c r="N15" i="49"/>
  <c r="N18" i="49" s="1"/>
  <c r="N22" i="49" s="1"/>
  <c r="N25" i="49" s="1"/>
  <c r="I15" i="49"/>
  <c r="I18" i="49" s="1"/>
  <c r="O15" i="49"/>
  <c r="O18" i="49" s="1"/>
  <c r="O20" i="49" s="1"/>
  <c r="H15" i="1"/>
  <c r="H18" i="1" s="1"/>
  <c r="H22" i="1" s="1"/>
  <c r="L15" i="52"/>
  <c r="L18" i="52" s="1"/>
  <c r="L20" i="52" s="1"/>
  <c r="M15" i="52"/>
  <c r="M18" i="52" s="1"/>
  <c r="M22" i="52" s="1"/>
  <c r="K15" i="52"/>
  <c r="K18" i="52" s="1"/>
  <c r="K22" i="52" s="1"/>
  <c r="H15" i="52"/>
  <c r="H18" i="52" s="1"/>
  <c r="H22" i="52" s="1"/>
  <c r="G15" i="52"/>
  <c r="G18" i="52" s="1"/>
  <c r="G20" i="52" s="1"/>
  <c r="P22" i="52"/>
  <c r="P20" i="52"/>
  <c r="N22" i="52"/>
  <c r="N20" i="52"/>
  <c r="J20" i="52"/>
  <c r="J22" i="52"/>
  <c r="I22" i="52"/>
  <c r="I20" i="52"/>
  <c r="F20" i="52"/>
  <c r="F22" i="52"/>
  <c r="Q22" i="52"/>
  <c r="Q20" i="52"/>
  <c r="Q15" i="51"/>
  <c r="Q18" i="51" s="1"/>
  <c r="Q20" i="51" s="1"/>
  <c r="M15" i="51"/>
  <c r="M18" i="51" s="1"/>
  <c r="M22" i="51" s="1"/>
  <c r="H15" i="51"/>
  <c r="H18" i="51" s="1"/>
  <c r="H22" i="51" s="1"/>
  <c r="P15" i="51"/>
  <c r="P18" i="51" s="1"/>
  <c r="P20" i="51" s="1"/>
  <c r="O15" i="51"/>
  <c r="O18" i="51" s="1"/>
  <c r="O22" i="51" s="1"/>
  <c r="K15" i="51"/>
  <c r="K18" i="51" s="1"/>
  <c r="K22" i="51" s="1"/>
  <c r="G15" i="51"/>
  <c r="G18" i="51" s="1"/>
  <c r="G22" i="51" s="1"/>
  <c r="F15" i="51"/>
  <c r="F18" i="51" s="1"/>
  <c r="F22" i="51" s="1"/>
  <c r="N22" i="51"/>
  <c r="N20" i="51"/>
  <c r="M20" i="51"/>
  <c r="L22" i="51"/>
  <c r="L20" i="51"/>
  <c r="J22" i="51"/>
  <c r="J20" i="51"/>
  <c r="I22" i="51"/>
  <c r="I20" i="51"/>
  <c r="F20" i="51"/>
  <c r="K15" i="50"/>
  <c r="K18" i="50" s="1"/>
  <c r="K22" i="50" s="1"/>
  <c r="L15" i="50"/>
  <c r="L18" i="50" s="1"/>
  <c r="L22" i="50" s="1"/>
  <c r="N15" i="50"/>
  <c r="N18" i="50" s="1"/>
  <c r="N22" i="50" s="1"/>
  <c r="I15" i="50"/>
  <c r="I18" i="50" s="1"/>
  <c r="I22" i="50" s="1"/>
  <c r="J20" i="50"/>
  <c r="J22" i="50"/>
  <c r="M22" i="50"/>
  <c r="M20" i="50"/>
  <c r="F22" i="50"/>
  <c r="F20" i="50"/>
  <c r="O22" i="50"/>
  <c r="O20" i="50"/>
  <c r="H22" i="50"/>
  <c r="P20" i="50"/>
  <c r="Q22" i="50"/>
  <c r="Q20" i="50"/>
  <c r="J15" i="49"/>
  <c r="J18" i="49" s="1"/>
  <c r="J20" i="49" s="1"/>
  <c r="H15" i="49"/>
  <c r="H18" i="49" s="1"/>
  <c r="H20" i="49" s="1"/>
  <c r="P15" i="49"/>
  <c r="P18" i="49" s="1"/>
  <c r="P22" i="49"/>
  <c r="P25" i="49" s="1"/>
  <c r="P20" i="49"/>
  <c r="M22" i="49"/>
  <c r="M25" i="49" s="1"/>
  <c r="I22" i="49"/>
  <c r="I25" i="49" s="1"/>
  <c r="I20" i="49"/>
  <c r="R22" i="49"/>
  <c r="R25" i="49" s="1"/>
  <c r="R20" i="49"/>
  <c r="Q15" i="1"/>
  <c r="Q18" i="1" s="1"/>
  <c r="Q22" i="1" s="1"/>
  <c r="Q25" i="1" s="1"/>
  <c r="O15" i="1"/>
  <c r="O18" i="1" s="1"/>
  <c r="O22" i="1" s="1"/>
  <c r="O25" i="1" s="1"/>
  <c r="N15" i="1"/>
  <c r="N18" i="1" s="1"/>
  <c r="N20" i="1" s="1"/>
  <c r="M15" i="1"/>
  <c r="M18" i="1" s="1"/>
  <c r="M22" i="1" s="1"/>
  <c r="M25" i="1" s="1"/>
  <c r="L15" i="1"/>
  <c r="L18" i="1" s="1"/>
  <c r="L22" i="1" s="1"/>
  <c r="L25" i="1" s="1"/>
  <c r="K15" i="1"/>
  <c r="K18" i="1" s="1"/>
  <c r="K22" i="1" s="1"/>
  <c r="K25" i="1" s="1"/>
  <c r="J15" i="1"/>
  <c r="J18" i="1" s="1"/>
  <c r="J20" i="1" s="1"/>
  <c r="I15" i="1"/>
  <c r="I18" i="1" s="1"/>
  <c r="I20" i="1" s="1"/>
  <c r="G15" i="1"/>
  <c r="G18" i="1" s="1"/>
  <c r="G20" i="1" s="1"/>
  <c r="P20" i="1"/>
  <c r="P22" i="1"/>
  <c r="P25" i="1" s="1"/>
  <c r="H20" i="1"/>
  <c r="N62" i="27" l="1"/>
  <c r="H28" i="1"/>
  <c r="H25" i="1"/>
  <c r="K31" i="1"/>
  <c r="K28" i="1"/>
  <c r="L31" i="1"/>
  <c r="L28" i="1"/>
  <c r="M31" i="1"/>
  <c r="M28" i="1"/>
  <c r="O31" i="1"/>
  <c r="O28" i="1"/>
  <c r="P31" i="1"/>
  <c r="P28" i="1"/>
  <c r="Q31" i="1"/>
  <c r="Q28" i="1"/>
  <c r="H34" i="1"/>
  <c r="H31" i="1"/>
  <c r="K37" i="1"/>
  <c r="K34" i="1"/>
  <c r="L37" i="1"/>
  <c r="L34" i="1"/>
  <c r="O37" i="1"/>
  <c r="O34" i="1"/>
  <c r="M37" i="1"/>
  <c r="M34" i="1"/>
  <c r="P37" i="1"/>
  <c r="P34" i="1"/>
  <c r="Q37" i="1"/>
  <c r="Q34" i="1"/>
  <c r="H33" i="1"/>
  <c r="H14" i="23" s="1"/>
  <c r="I14" i="24" s="1"/>
  <c r="H37" i="1"/>
  <c r="L20" i="1"/>
  <c r="K20" i="1"/>
  <c r="N20" i="49"/>
  <c r="Q20" i="49"/>
  <c r="K20" i="49"/>
  <c r="L20" i="49"/>
  <c r="O22" i="52"/>
  <c r="O33" i="52" s="1"/>
  <c r="O14" i="29" s="1"/>
  <c r="P14" i="39" s="1"/>
  <c r="Q22" i="51"/>
  <c r="G22" i="50"/>
  <c r="G22" i="49"/>
  <c r="O22" i="49"/>
  <c r="O25" i="49" s="1"/>
  <c r="G27" i="49"/>
  <c r="F12" i="26" s="1"/>
  <c r="H36" i="1"/>
  <c r="H15" i="23" s="1"/>
  <c r="I15" i="24" s="1"/>
  <c r="H39" i="1"/>
  <c r="H16" i="23" s="1"/>
  <c r="I16" i="24" s="1"/>
  <c r="H27" i="1"/>
  <c r="H12" i="23" s="1"/>
  <c r="I12" i="24" s="1"/>
  <c r="H30" i="1"/>
  <c r="H13" i="23" s="1"/>
  <c r="I13" i="24" s="1"/>
  <c r="L22" i="52"/>
  <c r="L27" i="52" s="1"/>
  <c r="L12" i="29" s="1"/>
  <c r="M12" i="39" s="1"/>
  <c r="M20" i="52"/>
  <c r="K20" i="52"/>
  <c r="H20" i="52"/>
  <c r="G22" i="52"/>
  <c r="G36" i="52" s="1"/>
  <c r="G15" i="29" s="1"/>
  <c r="P39" i="52"/>
  <c r="P16" i="29" s="1"/>
  <c r="Q16" i="39" s="1"/>
  <c r="P36" i="52"/>
  <c r="P15" i="29" s="1"/>
  <c r="Q15" i="39" s="1"/>
  <c r="P33" i="52"/>
  <c r="P14" i="29" s="1"/>
  <c r="Q14" i="39" s="1"/>
  <c r="P30" i="52"/>
  <c r="P13" i="29" s="1"/>
  <c r="Q13" i="39" s="1"/>
  <c r="P27" i="52"/>
  <c r="P12" i="29" s="1"/>
  <c r="Q12" i="39" s="1"/>
  <c r="F39" i="52"/>
  <c r="F16" i="29" s="1"/>
  <c r="F36" i="52"/>
  <c r="F15" i="29" s="1"/>
  <c r="F33" i="52"/>
  <c r="F14" i="29" s="1"/>
  <c r="F30" i="52"/>
  <c r="F13" i="29" s="1"/>
  <c r="F27" i="52"/>
  <c r="F12" i="29" s="1"/>
  <c r="K39" i="52"/>
  <c r="K16" i="29" s="1"/>
  <c r="L16" i="39" s="1"/>
  <c r="K36" i="52"/>
  <c r="K15" i="29" s="1"/>
  <c r="L15" i="39" s="1"/>
  <c r="K33" i="52"/>
  <c r="K14" i="29" s="1"/>
  <c r="L14" i="39" s="1"/>
  <c r="K30" i="52"/>
  <c r="K13" i="29" s="1"/>
  <c r="L13" i="39" s="1"/>
  <c r="K27" i="52"/>
  <c r="K12" i="29" s="1"/>
  <c r="L12" i="39" s="1"/>
  <c r="J39" i="52"/>
  <c r="J16" i="29" s="1"/>
  <c r="K16" i="39" s="1"/>
  <c r="J36" i="52"/>
  <c r="J15" i="29" s="1"/>
  <c r="K15" i="39" s="1"/>
  <c r="J33" i="52"/>
  <c r="J14" i="29" s="1"/>
  <c r="K14" i="39" s="1"/>
  <c r="J30" i="52"/>
  <c r="J13" i="29" s="1"/>
  <c r="K13" i="39" s="1"/>
  <c r="J27" i="52"/>
  <c r="J12" i="29" s="1"/>
  <c r="K12" i="39" s="1"/>
  <c r="O39" i="52"/>
  <c r="O16" i="29" s="1"/>
  <c r="P16" i="39" s="1"/>
  <c r="O36" i="52"/>
  <c r="O15" i="29" s="1"/>
  <c r="P15" i="39" s="1"/>
  <c r="N39" i="52"/>
  <c r="N16" i="29" s="1"/>
  <c r="O16" i="39" s="1"/>
  <c r="N36" i="52"/>
  <c r="N15" i="29" s="1"/>
  <c r="O15" i="39" s="1"/>
  <c r="N33" i="52"/>
  <c r="N14" i="29" s="1"/>
  <c r="O14" i="39" s="1"/>
  <c r="N30" i="52"/>
  <c r="N13" i="29" s="1"/>
  <c r="O13" i="39" s="1"/>
  <c r="N27" i="52"/>
  <c r="N12" i="29" s="1"/>
  <c r="O12" i="39" s="1"/>
  <c r="H39" i="52"/>
  <c r="H16" i="29" s="1"/>
  <c r="H36" i="52"/>
  <c r="H15" i="29" s="1"/>
  <c r="H33" i="52"/>
  <c r="H14" i="29" s="1"/>
  <c r="H30" i="52"/>
  <c r="H13" i="29" s="1"/>
  <c r="H27" i="52"/>
  <c r="H12" i="29" s="1"/>
  <c r="Q30" i="52"/>
  <c r="Q13" i="29" s="1"/>
  <c r="R13" i="39" s="1"/>
  <c r="Q39" i="52"/>
  <c r="Q16" i="29" s="1"/>
  <c r="R16" i="39" s="1"/>
  <c r="Q36" i="52"/>
  <c r="Q15" i="29" s="1"/>
  <c r="R15" i="39" s="1"/>
  <c r="Q33" i="52"/>
  <c r="Q14" i="29" s="1"/>
  <c r="R14" i="39" s="1"/>
  <c r="Q27" i="52"/>
  <c r="Q12" i="29" s="1"/>
  <c r="R12" i="39" s="1"/>
  <c r="I30" i="52"/>
  <c r="I13" i="29" s="1"/>
  <c r="J13" i="39" s="1"/>
  <c r="I39" i="52"/>
  <c r="I16" i="29" s="1"/>
  <c r="J16" i="39" s="1"/>
  <c r="I36" i="52"/>
  <c r="I15" i="29" s="1"/>
  <c r="J15" i="39" s="1"/>
  <c r="I33" i="52"/>
  <c r="I14" i="29" s="1"/>
  <c r="J14" i="39" s="1"/>
  <c r="I27" i="52"/>
  <c r="I12" i="29" s="1"/>
  <c r="J12" i="39" s="1"/>
  <c r="G33" i="52"/>
  <c r="G14" i="29" s="1"/>
  <c r="G30" i="52"/>
  <c r="G13" i="29" s="1"/>
  <c r="G27" i="52"/>
  <c r="G12" i="29" s="1"/>
  <c r="M39" i="52"/>
  <c r="M16" i="29" s="1"/>
  <c r="N16" i="39" s="1"/>
  <c r="M33" i="52"/>
  <c r="M14" i="29" s="1"/>
  <c r="N14" i="39" s="1"/>
  <c r="M27" i="52"/>
  <c r="M12" i="29" s="1"/>
  <c r="N12" i="39" s="1"/>
  <c r="M36" i="52"/>
  <c r="M15" i="29" s="1"/>
  <c r="N15" i="39" s="1"/>
  <c r="M30" i="52"/>
  <c r="M13" i="29" s="1"/>
  <c r="N13" i="39" s="1"/>
  <c r="H20" i="51"/>
  <c r="P22" i="51"/>
  <c r="P39" i="51" s="1"/>
  <c r="P16" i="28" s="1"/>
  <c r="Q16" i="38" s="1"/>
  <c r="O20" i="51"/>
  <c r="K20" i="51"/>
  <c r="G20" i="51"/>
  <c r="J39" i="51"/>
  <c r="J16" i="28" s="1"/>
  <c r="K16" i="38" s="1"/>
  <c r="J36" i="51"/>
  <c r="J15" i="28" s="1"/>
  <c r="K15" i="38" s="1"/>
  <c r="J33" i="51"/>
  <c r="J14" i="28" s="1"/>
  <c r="K14" i="38" s="1"/>
  <c r="J30" i="51"/>
  <c r="J13" i="28" s="1"/>
  <c r="K13" i="38" s="1"/>
  <c r="J27" i="51"/>
  <c r="J12" i="28" s="1"/>
  <c r="K12" i="38" s="1"/>
  <c r="H39" i="51"/>
  <c r="H16" i="28" s="1"/>
  <c r="H36" i="51"/>
  <c r="H15" i="28" s="1"/>
  <c r="H33" i="51"/>
  <c r="H14" i="28" s="1"/>
  <c r="H30" i="51"/>
  <c r="H13" i="28" s="1"/>
  <c r="H27" i="51"/>
  <c r="H12" i="28" s="1"/>
  <c r="I39" i="51"/>
  <c r="I16" i="28" s="1"/>
  <c r="J16" i="38" s="1"/>
  <c r="I36" i="51"/>
  <c r="I15" i="28" s="1"/>
  <c r="J15" i="38" s="1"/>
  <c r="I33" i="51"/>
  <c r="I14" i="28" s="1"/>
  <c r="J14" i="38" s="1"/>
  <c r="I30" i="51"/>
  <c r="I13" i="28" s="1"/>
  <c r="J13" i="38" s="1"/>
  <c r="I27" i="51"/>
  <c r="I12" i="28" s="1"/>
  <c r="J12" i="38" s="1"/>
  <c r="O39" i="51"/>
  <c r="O16" i="28" s="1"/>
  <c r="P16" i="38" s="1"/>
  <c r="O33" i="51"/>
  <c r="O14" i="28" s="1"/>
  <c r="P14" i="38" s="1"/>
  <c r="O27" i="51"/>
  <c r="O12" i="28" s="1"/>
  <c r="P12" i="38" s="1"/>
  <c r="O36" i="51"/>
  <c r="O15" i="28" s="1"/>
  <c r="P15" i="38" s="1"/>
  <c r="O30" i="51"/>
  <c r="O13" i="28" s="1"/>
  <c r="P13" i="38" s="1"/>
  <c r="G39" i="51"/>
  <c r="G16" i="28" s="1"/>
  <c r="G36" i="51"/>
  <c r="G15" i="28" s="1"/>
  <c r="G33" i="51"/>
  <c r="G14" i="28" s="1"/>
  <c r="G30" i="51"/>
  <c r="G13" i="28" s="1"/>
  <c r="G27" i="51"/>
  <c r="G12" i="28" s="1"/>
  <c r="K39" i="51"/>
  <c r="K16" i="28" s="1"/>
  <c r="L16" i="38" s="1"/>
  <c r="K36" i="51"/>
  <c r="K15" i="28" s="1"/>
  <c r="L15" i="38" s="1"/>
  <c r="K33" i="51"/>
  <c r="K14" i="28" s="1"/>
  <c r="L14" i="38" s="1"/>
  <c r="K30" i="51"/>
  <c r="K13" i="28" s="1"/>
  <c r="L13" i="38" s="1"/>
  <c r="K27" i="51"/>
  <c r="K12" i="28" s="1"/>
  <c r="L12" i="38" s="1"/>
  <c r="M30" i="51"/>
  <c r="M13" i="28" s="1"/>
  <c r="N13" i="38" s="1"/>
  <c r="M27" i="51"/>
  <c r="M12" i="28" s="1"/>
  <c r="N12" i="38" s="1"/>
  <c r="M39" i="51"/>
  <c r="M16" i="28" s="1"/>
  <c r="N16" i="38" s="1"/>
  <c r="M36" i="51"/>
  <c r="M15" i="28" s="1"/>
  <c r="N15" i="38" s="1"/>
  <c r="M33" i="51"/>
  <c r="M14" i="28" s="1"/>
  <c r="N14" i="38" s="1"/>
  <c r="Q39" i="51"/>
  <c r="Q16" i="28" s="1"/>
  <c r="R16" i="38" s="1"/>
  <c r="Q36" i="51"/>
  <c r="Q15" i="28" s="1"/>
  <c r="R15" i="38" s="1"/>
  <c r="Q33" i="51"/>
  <c r="Q14" i="28" s="1"/>
  <c r="R14" i="38" s="1"/>
  <c r="Q30" i="51"/>
  <c r="Q13" i="28" s="1"/>
  <c r="R13" i="38" s="1"/>
  <c r="Q27" i="51"/>
  <c r="Q12" i="28" s="1"/>
  <c r="R12" i="38" s="1"/>
  <c r="L39" i="51"/>
  <c r="L16" i="28" s="1"/>
  <c r="M16" i="38" s="1"/>
  <c r="L36" i="51"/>
  <c r="L15" i="28" s="1"/>
  <c r="M15" i="38" s="1"/>
  <c r="L33" i="51"/>
  <c r="L14" i="28" s="1"/>
  <c r="M14" i="38" s="1"/>
  <c r="L30" i="51"/>
  <c r="L13" i="28" s="1"/>
  <c r="M13" i="38" s="1"/>
  <c r="L27" i="51"/>
  <c r="L12" i="28" s="1"/>
  <c r="M12" i="38" s="1"/>
  <c r="N39" i="51"/>
  <c r="N16" i="28" s="1"/>
  <c r="O16" i="38" s="1"/>
  <c r="N36" i="51"/>
  <c r="N15" i="28" s="1"/>
  <c r="O15" i="38" s="1"/>
  <c r="N33" i="51"/>
  <c r="N14" i="28" s="1"/>
  <c r="O14" i="38" s="1"/>
  <c r="N30" i="51"/>
  <c r="N13" i="28" s="1"/>
  <c r="O13" i="38" s="1"/>
  <c r="N27" i="51"/>
  <c r="N12" i="28" s="1"/>
  <c r="O12" i="38" s="1"/>
  <c r="F39" i="51"/>
  <c r="F16" i="28" s="1"/>
  <c r="F36" i="51"/>
  <c r="F15" i="28" s="1"/>
  <c r="F33" i="51"/>
  <c r="F14" i="28" s="1"/>
  <c r="F30" i="51"/>
  <c r="F13" i="28" s="1"/>
  <c r="F27" i="51"/>
  <c r="F12" i="28" s="1"/>
  <c r="P33" i="51"/>
  <c r="P14" i="28" s="1"/>
  <c r="Q14" i="38" s="1"/>
  <c r="N20" i="50"/>
  <c r="K20" i="50"/>
  <c r="L20" i="50"/>
  <c r="I20" i="50"/>
  <c r="L39" i="50"/>
  <c r="L16" i="27" s="1"/>
  <c r="M16" i="37" s="1"/>
  <c r="L36" i="50"/>
  <c r="L15" i="27" s="1"/>
  <c r="M15" i="37" s="1"/>
  <c r="L33" i="50"/>
  <c r="L14" i="27" s="1"/>
  <c r="M14" i="37" s="1"/>
  <c r="L30" i="50"/>
  <c r="L13" i="27" s="1"/>
  <c r="M13" i="37" s="1"/>
  <c r="L27" i="50"/>
  <c r="L12" i="27" s="1"/>
  <c r="M12" i="37" s="1"/>
  <c r="H39" i="50"/>
  <c r="H16" i="27" s="1"/>
  <c r="H36" i="50"/>
  <c r="H15" i="27" s="1"/>
  <c r="H33" i="50"/>
  <c r="H14" i="27" s="1"/>
  <c r="H30" i="50"/>
  <c r="H13" i="27" s="1"/>
  <c r="H27" i="50"/>
  <c r="H12" i="27" s="1"/>
  <c r="Q30" i="50"/>
  <c r="Q13" i="27" s="1"/>
  <c r="R13" i="37" s="1"/>
  <c r="Q39" i="50"/>
  <c r="Q16" i="27" s="1"/>
  <c r="R16" i="37" s="1"/>
  <c r="Q36" i="50"/>
  <c r="Q15" i="27" s="1"/>
  <c r="R15" i="37" s="1"/>
  <c r="Q33" i="50"/>
  <c r="Q14" i="27" s="1"/>
  <c r="R14" i="37" s="1"/>
  <c r="Q27" i="50"/>
  <c r="Q12" i="27" s="1"/>
  <c r="R12" i="37" s="1"/>
  <c r="M39" i="50"/>
  <c r="M16" i="27" s="1"/>
  <c r="N16" i="37" s="1"/>
  <c r="M36" i="50"/>
  <c r="M15" i="27" s="1"/>
  <c r="N15" i="37" s="1"/>
  <c r="M33" i="50"/>
  <c r="M14" i="27" s="1"/>
  <c r="N14" i="37" s="1"/>
  <c r="M27" i="50"/>
  <c r="M12" i="27" s="1"/>
  <c r="N12" i="37" s="1"/>
  <c r="M30" i="50"/>
  <c r="M13" i="27" s="1"/>
  <c r="N13" i="37" s="1"/>
  <c r="I39" i="50"/>
  <c r="I16" i="27" s="1"/>
  <c r="J16" i="37" s="1"/>
  <c r="I36" i="50"/>
  <c r="I15" i="27" s="1"/>
  <c r="J15" i="37" s="1"/>
  <c r="I33" i="50"/>
  <c r="I14" i="27" s="1"/>
  <c r="J14" i="37" s="1"/>
  <c r="I30" i="50"/>
  <c r="I13" i="27" s="1"/>
  <c r="J13" i="37" s="1"/>
  <c r="I27" i="50"/>
  <c r="I12" i="27" s="1"/>
  <c r="J12" i="37" s="1"/>
  <c r="O39" i="50"/>
  <c r="O16" i="27" s="1"/>
  <c r="P16" i="37" s="1"/>
  <c r="O36" i="50"/>
  <c r="O15" i="27" s="1"/>
  <c r="P15" i="37" s="1"/>
  <c r="O33" i="50"/>
  <c r="O14" i="27" s="1"/>
  <c r="P14" i="37" s="1"/>
  <c r="O30" i="50"/>
  <c r="O13" i="27" s="1"/>
  <c r="P13" i="37" s="1"/>
  <c r="O27" i="50"/>
  <c r="O12" i="27" s="1"/>
  <c r="P12" i="37" s="1"/>
  <c r="G39" i="50"/>
  <c r="G16" i="27" s="1"/>
  <c r="G36" i="50"/>
  <c r="G15" i="27" s="1"/>
  <c r="G33" i="50"/>
  <c r="G14" i="27" s="1"/>
  <c r="G30" i="50"/>
  <c r="G13" i="27" s="1"/>
  <c r="G27" i="50"/>
  <c r="G12" i="27" s="1"/>
  <c r="N36" i="50"/>
  <c r="N15" i="27" s="1"/>
  <c r="O15" i="37" s="1"/>
  <c r="N30" i="50"/>
  <c r="N13" i="27" s="1"/>
  <c r="O13" i="37" s="1"/>
  <c r="N27" i="50"/>
  <c r="N12" i="27" s="1"/>
  <c r="O12" i="37" s="1"/>
  <c r="N39" i="50"/>
  <c r="N16" i="27" s="1"/>
  <c r="O16" i="37" s="1"/>
  <c r="N33" i="50"/>
  <c r="N14" i="27" s="1"/>
  <c r="O14" i="37" s="1"/>
  <c r="K39" i="50"/>
  <c r="K16" i="27" s="1"/>
  <c r="L16" i="37" s="1"/>
  <c r="K36" i="50"/>
  <c r="K15" i="27" s="1"/>
  <c r="L15" i="37" s="1"/>
  <c r="K33" i="50"/>
  <c r="K14" i="27" s="1"/>
  <c r="L14" i="37" s="1"/>
  <c r="K27" i="50"/>
  <c r="K12" i="27" s="1"/>
  <c r="L12" i="37" s="1"/>
  <c r="K30" i="50"/>
  <c r="K13" i="27" s="1"/>
  <c r="L13" i="37" s="1"/>
  <c r="J39" i="50"/>
  <c r="J16" i="27" s="1"/>
  <c r="K16" i="37" s="1"/>
  <c r="J36" i="50"/>
  <c r="J15" i="27" s="1"/>
  <c r="K15" i="37" s="1"/>
  <c r="J33" i="50"/>
  <c r="J14" i="27" s="1"/>
  <c r="K14" i="37" s="1"/>
  <c r="J30" i="50"/>
  <c r="J13" i="27" s="1"/>
  <c r="K13" i="37" s="1"/>
  <c r="J27" i="50"/>
  <c r="J12" i="27" s="1"/>
  <c r="K12" i="37" s="1"/>
  <c r="P39" i="50"/>
  <c r="P16" i="27" s="1"/>
  <c r="Q16" i="37" s="1"/>
  <c r="P36" i="50"/>
  <c r="P15" i="27" s="1"/>
  <c r="Q15" i="37" s="1"/>
  <c r="P33" i="50"/>
  <c r="P14" i="27" s="1"/>
  <c r="Q14" i="37" s="1"/>
  <c r="P30" i="50"/>
  <c r="P13" i="27" s="1"/>
  <c r="Q13" i="37" s="1"/>
  <c r="P27" i="50"/>
  <c r="P12" i="27" s="1"/>
  <c r="Q12" i="37" s="1"/>
  <c r="F39" i="50"/>
  <c r="F16" i="27" s="1"/>
  <c r="F36" i="50"/>
  <c r="F15" i="27" s="1"/>
  <c r="F33" i="50"/>
  <c r="F14" i="27" s="1"/>
  <c r="F30" i="50"/>
  <c r="F13" i="27" s="1"/>
  <c r="F27" i="50"/>
  <c r="F12" i="27" s="1"/>
  <c r="J22" i="49"/>
  <c r="H22" i="49"/>
  <c r="Q38" i="49"/>
  <c r="Q39" i="49" s="1"/>
  <c r="P16" i="26" s="1"/>
  <c r="Q16" i="33" s="1"/>
  <c r="Q27" i="49"/>
  <c r="P12" i="26" s="1"/>
  <c r="Q12" i="33" s="1"/>
  <c r="Q36" i="49"/>
  <c r="P15" i="26" s="1"/>
  <c r="Q15" i="33" s="1"/>
  <c r="Q30" i="49"/>
  <c r="P13" i="26" s="1"/>
  <c r="Q13" i="33" s="1"/>
  <c r="Q33" i="49"/>
  <c r="P14" i="26" s="1"/>
  <c r="Q14" i="33" s="1"/>
  <c r="P38" i="49"/>
  <c r="P39" i="49" s="1"/>
  <c r="O16" i="26" s="1"/>
  <c r="P16" i="33" s="1"/>
  <c r="P27" i="49"/>
  <c r="O12" i="26" s="1"/>
  <c r="P12" i="33" s="1"/>
  <c r="P33" i="49"/>
  <c r="O14" i="26" s="1"/>
  <c r="P14" i="33" s="1"/>
  <c r="P30" i="49"/>
  <c r="O13" i="26" s="1"/>
  <c r="P13" i="33" s="1"/>
  <c r="P36" i="49"/>
  <c r="O15" i="26" s="1"/>
  <c r="P15" i="33" s="1"/>
  <c r="O38" i="49"/>
  <c r="O39" i="49" s="1"/>
  <c r="N16" i="26" s="1"/>
  <c r="O16" i="33" s="1"/>
  <c r="O27" i="49"/>
  <c r="N12" i="26" s="1"/>
  <c r="O12" i="33" s="1"/>
  <c r="O30" i="49"/>
  <c r="N13" i="26" s="1"/>
  <c r="O13" i="33" s="1"/>
  <c r="O36" i="49"/>
  <c r="N15" i="26" s="1"/>
  <c r="O15" i="33" s="1"/>
  <c r="O33" i="49"/>
  <c r="N14" i="26" s="1"/>
  <c r="O14" i="33" s="1"/>
  <c r="N38" i="49"/>
  <c r="N39" i="49" s="1"/>
  <c r="M16" i="26" s="1"/>
  <c r="N16" i="33" s="1"/>
  <c r="N27" i="49"/>
  <c r="M12" i="26" s="1"/>
  <c r="N12" i="33" s="1"/>
  <c r="N36" i="49"/>
  <c r="M15" i="26" s="1"/>
  <c r="N15" i="33" s="1"/>
  <c r="N33" i="49"/>
  <c r="M14" i="26" s="1"/>
  <c r="N14" i="33" s="1"/>
  <c r="N30" i="49"/>
  <c r="M13" i="26" s="1"/>
  <c r="N13" i="33" s="1"/>
  <c r="M30" i="49"/>
  <c r="L13" i="26" s="1"/>
  <c r="M13" i="33" s="1"/>
  <c r="M38" i="49"/>
  <c r="M39" i="49" s="1"/>
  <c r="L16" i="26" s="1"/>
  <c r="M16" i="33" s="1"/>
  <c r="M27" i="49"/>
  <c r="L12" i="26" s="1"/>
  <c r="M12" i="33" s="1"/>
  <c r="M36" i="49"/>
  <c r="L15" i="26" s="1"/>
  <c r="M15" i="33" s="1"/>
  <c r="M33" i="49"/>
  <c r="L14" i="26" s="1"/>
  <c r="M14" i="33" s="1"/>
  <c r="L30" i="49"/>
  <c r="K13" i="26" s="1"/>
  <c r="L13" i="33" s="1"/>
  <c r="L38" i="49"/>
  <c r="L39" i="49" s="1"/>
  <c r="K16" i="26" s="1"/>
  <c r="L16" i="33" s="1"/>
  <c r="L27" i="49"/>
  <c r="K12" i="26" s="1"/>
  <c r="L12" i="33" s="1"/>
  <c r="L33" i="49"/>
  <c r="K14" i="26" s="1"/>
  <c r="L14" i="33" s="1"/>
  <c r="L36" i="49"/>
  <c r="K15" i="26" s="1"/>
  <c r="L15" i="33" s="1"/>
  <c r="K30" i="49"/>
  <c r="J13" i="26" s="1"/>
  <c r="K13" i="33" s="1"/>
  <c r="K33" i="49"/>
  <c r="J14" i="26" s="1"/>
  <c r="K14" i="33" s="1"/>
  <c r="K38" i="49"/>
  <c r="K39" i="49" s="1"/>
  <c r="J16" i="26" s="1"/>
  <c r="K16" i="33" s="1"/>
  <c r="K27" i="49"/>
  <c r="J12" i="26" s="1"/>
  <c r="K12" i="33" s="1"/>
  <c r="K36" i="49"/>
  <c r="J15" i="26" s="1"/>
  <c r="K15" i="33" s="1"/>
  <c r="I30" i="49"/>
  <c r="H13" i="26" s="1"/>
  <c r="I38" i="49"/>
  <c r="I39" i="49" s="1"/>
  <c r="H16" i="26" s="1"/>
  <c r="I27" i="49"/>
  <c r="H12" i="26" s="1"/>
  <c r="I33" i="49"/>
  <c r="H14" i="26" s="1"/>
  <c r="I36" i="49"/>
  <c r="H15" i="26" s="1"/>
  <c r="R36" i="49"/>
  <c r="Q15" i="26" s="1"/>
  <c r="R15" i="33" s="1"/>
  <c r="R33" i="49"/>
  <c r="Q14" i="26" s="1"/>
  <c r="R14" i="33" s="1"/>
  <c r="R30" i="49"/>
  <c r="Q13" i="26" s="1"/>
  <c r="R13" i="33" s="1"/>
  <c r="R27" i="49"/>
  <c r="Q12" i="26" s="1"/>
  <c r="R12" i="33" s="1"/>
  <c r="R38" i="49"/>
  <c r="R39" i="49" s="1"/>
  <c r="Q16" i="26" s="1"/>
  <c r="R16" i="33" s="1"/>
  <c r="Q20" i="1"/>
  <c r="O20" i="1"/>
  <c r="N22" i="1"/>
  <c r="N25" i="1" s="1"/>
  <c r="M20" i="1"/>
  <c r="G22" i="1"/>
  <c r="J22" i="1"/>
  <c r="I22" i="1"/>
  <c r="I25" i="1" s="1"/>
  <c r="Q39" i="1"/>
  <c r="Q16" i="23" s="1"/>
  <c r="R16" i="24" s="1"/>
  <c r="Q27" i="1"/>
  <c r="Q12" i="23" s="1"/>
  <c r="R12" i="24" s="1"/>
  <c r="Q36" i="1"/>
  <c r="Q15" i="23" s="1"/>
  <c r="R15" i="24" s="1"/>
  <c r="Q33" i="1"/>
  <c r="Q14" i="23" s="1"/>
  <c r="R14" i="24" s="1"/>
  <c r="P33" i="1"/>
  <c r="P14" i="23" s="1"/>
  <c r="Q14" i="24" s="1"/>
  <c r="P39" i="1"/>
  <c r="P16" i="23" s="1"/>
  <c r="Q16" i="24" s="1"/>
  <c r="P27" i="1"/>
  <c r="P12" i="23" s="1"/>
  <c r="Q12" i="24" s="1"/>
  <c r="P36" i="1"/>
  <c r="P15" i="23" s="1"/>
  <c r="Q15" i="24" s="1"/>
  <c r="O27" i="1"/>
  <c r="O12" i="23" s="1"/>
  <c r="P12" i="24" s="1"/>
  <c r="O36" i="1"/>
  <c r="O15" i="23" s="1"/>
  <c r="P15" i="24" s="1"/>
  <c r="O39" i="1"/>
  <c r="O16" i="23" s="1"/>
  <c r="P16" i="24" s="1"/>
  <c r="O33" i="1"/>
  <c r="O14" i="23" s="1"/>
  <c r="P14" i="24" s="1"/>
  <c r="M39" i="1"/>
  <c r="M16" i="23" s="1"/>
  <c r="N16" i="24" s="1"/>
  <c r="M27" i="1"/>
  <c r="M12" i="23" s="1"/>
  <c r="N12" i="24" s="1"/>
  <c r="M33" i="1"/>
  <c r="M14" i="23" s="1"/>
  <c r="N14" i="24" s="1"/>
  <c r="M36" i="1"/>
  <c r="M15" i="23" s="1"/>
  <c r="N15" i="24" s="1"/>
  <c r="L36" i="1"/>
  <c r="L15" i="23" s="1"/>
  <c r="M15" i="24" s="1"/>
  <c r="L39" i="1"/>
  <c r="L16" i="23" s="1"/>
  <c r="M16" i="24" s="1"/>
  <c r="L33" i="1"/>
  <c r="L14" i="23" s="1"/>
  <c r="M14" i="24" s="1"/>
  <c r="L30" i="1"/>
  <c r="L13" i="23" s="1"/>
  <c r="M13" i="24" s="1"/>
  <c r="L27" i="1"/>
  <c r="L12" i="23" s="1"/>
  <c r="M12" i="24" s="1"/>
  <c r="K33" i="1"/>
  <c r="K14" i="23" s="1"/>
  <c r="L14" i="24" s="1"/>
  <c r="K30" i="1"/>
  <c r="K13" i="23" s="1"/>
  <c r="L13" i="24" s="1"/>
  <c r="K39" i="1"/>
  <c r="K16" i="23" s="1"/>
  <c r="L16" i="24" s="1"/>
  <c r="K27" i="1"/>
  <c r="K12" i="23" s="1"/>
  <c r="L12" i="24" s="1"/>
  <c r="K36" i="1"/>
  <c r="K15" i="23" s="1"/>
  <c r="L15" i="24" s="1"/>
  <c r="F21" i="1"/>
  <c r="J28" i="1" l="1"/>
  <c r="J25" i="1"/>
  <c r="G28" i="1"/>
  <c r="G25" i="1"/>
  <c r="I31" i="1"/>
  <c r="I28" i="1"/>
  <c r="N31" i="1"/>
  <c r="N28" i="1"/>
  <c r="G34" i="1"/>
  <c r="G31" i="1"/>
  <c r="J34" i="1"/>
  <c r="J31" i="1"/>
  <c r="I37" i="1"/>
  <c r="I34" i="1"/>
  <c r="N37" i="1"/>
  <c r="N34" i="1"/>
  <c r="J36" i="1"/>
  <c r="J15" i="23" s="1"/>
  <c r="K15" i="24" s="1"/>
  <c r="J37" i="1"/>
  <c r="G30" i="1"/>
  <c r="G13" i="23" s="1"/>
  <c r="H13" i="24" s="1"/>
  <c r="G37" i="1"/>
  <c r="G30" i="49"/>
  <c r="F13" i="26" s="1"/>
  <c r="R13" i="23" s="1"/>
  <c r="G25" i="49"/>
  <c r="H33" i="49"/>
  <c r="G14" i="26" s="1"/>
  <c r="S14" i="23" s="1"/>
  <c r="H25" i="49"/>
  <c r="J36" i="49"/>
  <c r="I15" i="26" s="1"/>
  <c r="J15" i="33" s="1"/>
  <c r="J25" i="49"/>
  <c r="G36" i="49"/>
  <c r="F15" i="26" s="1"/>
  <c r="R15" i="23" s="1"/>
  <c r="G38" i="49"/>
  <c r="G39" i="49" s="1"/>
  <c r="F16" i="26" s="1"/>
  <c r="R16" i="23" s="1"/>
  <c r="G33" i="49"/>
  <c r="F14" i="26" s="1"/>
  <c r="G14" i="33" s="1"/>
  <c r="L30" i="52"/>
  <c r="L13" i="29" s="1"/>
  <c r="M13" i="39" s="1"/>
  <c r="O27" i="52"/>
  <c r="O12" i="29" s="1"/>
  <c r="P12" i="39" s="1"/>
  <c r="O30" i="52"/>
  <c r="O13" i="29" s="1"/>
  <c r="P13" i="39" s="1"/>
  <c r="I14" i="39"/>
  <c r="U14" i="38" s="1"/>
  <c r="T14" i="28"/>
  <c r="H13" i="39"/>
  <c r="T13" i="38" s="1"/>
  <c r="S13" i="28"/>
  <c r="I12" i="39"/>
  <c r="U12" i="38" s="1"/>
  <c r="T12" i="28"/>
  <c r="G16" i="39"/>
  <c r="S16" i="38" s="1"/>
  <c r="R16" i="28"/>
  <c r="I13" i="39"/>
  <c r="U13" i="38" s="1"/>
  <c r="T13" i="28"/>
  <c r="G12" i="39"/>
  <c r="S12" i="38" s="1"/>
  <c r="R12" i="28"/>
  <c r="G13" i="39"/>
  <c r="S13" i="38" s="1"/>
  <c r="R13" i="28"/>
  <c r="I15" i="39"/>
  <c r="U15" i="38" s="1"/>
  <c r="T15" i="28"/>
  <c r="G14" i="39"/>
  <c r="S14" i="38" s="1"/>
  <c r="R14" i="28"/>
  <c r="H15" i="39"/>
  <c r="T15" i="38" s="1"/>
  <c r="S15" i="28"/>
  <c r="H12" i="39"/>
  <c r="T12" i="38" s="1"/>
  <c r="S12" i="28"/>
  <c r="H14" i="39"/>
  <c r="T14" i="38" s="1"/>
  <c r="S14" i="28"/>
  <c r="I16" i="39"/>
  <c r="U16" i="38" s="1"/>
  <c r="T16" i="28"/>
  <c r="G15" i="39"/>
  <c r="S15" i="38" s="1"/>
  <c r="R15" i="28"/>
  <c r="T12" i="27"/>
  <c r="I12" i="38"/>
  <c r="U12" i="37" s="1"/>
  <c r="G16" i="38"/>
  <c r="S16" i="37" s="1"/>
  <c r="R16" i="27"/>
  <c r="S12" i="27"/>
  <c r="H12" i="38"/>
  <c r="T12" i="37" s="1"/>
  <c r="I13" i="38"/>
  <c r="U13" i="37" s="1"/>
  <c r="T13" i="27"/>
  <c r="G14" i="38"/>
  <c r="S14" i="37" s="1"/>
  <c r="R14" i="27"/>
  <c r="H16" i="38"/>
  <c r="T16" i="37" s="1"/>
  <c r="S16" i="27"/>
  <c r="G15" i="38"/>
  <c r="S15" i="37" s="1"/>
  <c r="R15" i="27"/>
  <c r="H13" i="38"/>
  <c r="T13" i="37" s="1"/>
  <c r="S13" i="27"/>
  <c r="I14" i="38"/>
  <c r="U14" i="37" s="1"/>
  <c r="T14" i="27"/>
  <c r="H14" i="38"/>
  <c r="T14" i="37" s="1"/>
  <c r="S14" i="27"/>
  <c r="I15" i="38"/>
  <c r="U15" i="37" s="1"/>
  <c r="T15" i="27"/>
  <c r="R12" i="27"/>
  <c r="G12" i="38"/>
  <c r="S12" i="37" s="1"/>
  <c r="G13" i="38"/>
  <c r="S13" i="37" s="1"/>
  <c r="R13" i="27"/>
  <c r="H15" i="38"/>
  <c r="T15" i="37" s="1"/>
  <c r="S15" i="27"/>
  <c r="I16" i="38"/>
  <c r="U16" i="37" s="1"/>
  <c r="T16" i="27"/>
  <c r="H16" i="37"/>
  <c r="T16" i="33" s="1"/>
  <c r="S16" i="26"/>
  <c r="I16" i="37"/>
  <c r="U16" i="33" s="1"/>
  <c r="T16" i="26"/>
  <c r="H14" i="37"/>
  <c r="T14" i="33" s="1"/>
  <c r="S14" i="26"/>
  <c r="I13" i="37"/>
  <c r="U13" i="33" s="1"/>
  <c r="T13" i="26"/>
  <c r="G16" i="37"/>
  <c r="S16" i="33" s="1"/>
  <c r="R16" i="26"/>
  <c r="I14" i="37"/>
  <c r="U14" i="33" s="1"/>
  <c r="T14" i="26"/>
  <c r="I15" i="37"/>
  <c r="U15" i="33" s="1"/>
  <c r="T15" i="26"/>
  <c r="G12" i="37"/>
  <c r="S12" i="33" s="1"/>
  <c r="R12" i="26"/>
  <c r="H12" i="37"/>
  <c r="T12" i="33" s="1"/>
  <c r="S12" i="26"/>
  <c r="G15" i="37"/>
  <c r="S15" i="33" s="1"/>
  <c r="R15" i="26"/>
  <c r="H15" i="37"/>
  <c r="T15" i="33" s="1"/>
  <c r="S15" i="26"/>
  <c r="G13" i="37"/>
  <c r="S13" i="33" s="1"/>
  <c r="R13" i="26"/>
  <c r="G14" i="37"/>
  <c r="S14" i="33" s="1"/>
  <c r="R14" i="26"/>
  <c r="H13" i="37"/>
  <c r="T13" i="33" s="1"/>
  <c r="S13" i="26"/>
  <c r="I12" i="37"/>
  <c r="U12" i="33" s="1"/>
  <c r="T12" i="26"/>
  <c r="J33" i="49"/>
  <c r="I14" i="26" s="1"/>
  <c r="J14" i="33" s="1"/>
  <c r="T15" i="23"/>
  <c r="I15" i="33"/>
  <c r="R12" i="23"/>
  <c r="G12" i="33"/>
  <c r="T12" i="23"/>
  <c r="I12" i="33"/>
  <c r="T14" i="23"/>
  <c r="I14" i="33"/>
  <c r="I16" i="33"/>
  <c r="T16" i="23"/>
  <c r="T13" i="23"/>
  <c r="I13" i="33"/>
  <c r="L33" i="52"/>
  <c r="L14" i="29" s="1"/>
  <c r="M14" i="39" s="1"/>
  <c r="L36" i="52"/>
  <c r="L15" i="29" s="1"/>
  <c r="M15" i="39" s="1"/>
  <c r="L39" i="52"/>
  <c r="L16" i="29" s="1"/>
  <c r="M16" i="39" s="1"/>
  <c r="G39" i="52"/>
  <c r="G16" i="29" s="1"/>
  <c r="P27" i="51"/>
  <c r="P12" i="28" s="1"/>
  <c r="Q12" i="38" s="1"/>
  <c r="P30" i="51"/>
  <c r="P13" i="28" s="1"/>
  <c r="Q13" i="38" s="1"/>
  <c r="P36" i="51"/>
  <c r="P15" i="28" s="1"/>
  <c r="Q15" i="38" s="1"/>
  <c r="J27" i="49"/>
  <c r="I12" i="26" s="1"/>
  <c r="J12" i="33" s="1"/>
  <c r="J38" i="49"/>
  <c r="J39" i="49" s="1"/>
  <c r="I16" i="26" s="1"/>
  <c r="J16" i="33" s="1"/>
  <c r="J30" i="49"/>
  <c r="I13" i="26" s="1"/>
  <c r="J13" i="33" s="1"/>
  <c r="H36" i="49"/>
  <c r="G15" i="26" s="1"/>
  <c r="H27" i="49"/>
  <c r="G12" i="26" s="1"/>
  <c r="H38" i="49"/>
  <c r="H39" i="49" s="1"/>
  <c r="G16" i="26" s="1"/>
  <c r="H30" i="49"/>
  <c r="G13" i="26" s="1"/>
  <c r="N33" i="1"/>
  <c r="N14" i="23" s="1"/>
  <c r="O14" i="24" s="1"/>
  <c r="N36" i="1"/>
  <c r="N15" i="23" s="1"/>
  <c r="O15" i="24" s="1"/>
  <c r="N39" i="1"/>
  <c r="N16" i="23" s="1"/>
  <c r="O16" i="24" s="1"/>
  <c r="N27" i="1"/>
  <c r="N12" i="23" s="1"/>
  <c r="O12" i="24" s="1"/>
  <c r="J33" i="1"/>
  <c r="J14" i="23" s="1"/>
  <c r="K14" i="24" s="1"/>
  <c r="J30" i="1"/>
  <c r="J13" i="23" s="1"/>
  <c r="K13" i="24" s="1"/>
  <c r="G16" i="23"/>
  <c r="H16" i="24" s="1"/>
  <c r="G33" i="1"/>
  <c r="G14" i="23" s="1"/>
  <c r="H14" i="24" s="1"/>
  <c r="G36" i="1"/>
  <c r="G15" i="23" s="1"/>
  <c r="H15" i="24" s="1"/>
  <c r="J39" i="1"/>
  <c r="J16" i="23" s="1"/>
  <c r="K16" i="24" s="1"/>
  <c r="J27" i="1"/>
  <c r="J12" i="23" s="1"/>
  <c r="K12" i="24" s="1"/>
  <c r="I16" i="23"/>
  <c r="J16" i="24" s="1"/>
  <c r="I36" i="1"/>
  <c r="I15" i="23" s="1"/>
  <c r="J15" i="24" s="1"/>
  <c r="I30" i="1"/>
  <c r="I13" i="23" s="1"/>
  <c r="J13" i="24" s="1"/>
  <c r="I27" i="1"/>
  <c r="I12" i="23" s="1"/>
  <c r="J12" i="24" s="1"/>
  <c r="I33" i="1"/>
  <c r="I14" i="23" s="1"/>
  <c r="J14" i="24" s="1"/>
  <c r="F15" i="1"/>
  <c r="F18" i="1" s="1"/>
  <c r="K11" i="33"/>
  <c r="K48" i="33" s="1"/>
  <c r="L11" i="33"/>
  <c r="L21" i="33" s="1"/>
  <c r="V49" i="2" s="1"/>
  <c r="M11" i="33"/>
  <c r="M21" i="33" s="1"/>
  <c r="W49" i="2" s="1"/>
  <c r="N11" i="33"/>
  <c r="N21" i="33" s="1"/>
  <c r="X49" i="2" s="1"/>
  <c r="O11" i="33"/>
  <c r="O21" i="33" s="1"/>
  <c r="Y49" i="2" s="1"/>
  <c r="P11" i="33"/>
  <c r="P21" i="33" s="1"/>
  <c r="Z49" i="2" s="1"/>
  <c r="Q11" i="33"/>
  <c r="Q48" i="33" s="1"/>
  <c r="R11" i="33"/>
  <c r="R48" i="33" s="1"/>
  <c r="K28" i="33"/>
  <c r="L28" i="33"/>
  <c r="L46" i="33" s="1"/>
  <c r="M28" i="33"/>
  <c r="N28" i="33"/>
  <c r="O28" i="33"/>
  <c r="P28" i="33"/>
  <c r="Q28" i="33"/>
  <c r="R28" i="33"/>
  <c r="K43" i="33"/>
  <c r="L43" i="33"/>
  <c r="L47" i="33" s="1"/>
  <c r="M43" i="33"/>
  <c r="N43" i="33"/>
  <c r="N47" i="33" s="1"/>
  <c r="O43" i="33"/>
  <c r="P43" i="33"/>
  <c r="P47" i="33" s="1"/>
  <c r="Q43" i="33"/>
  <c r="R43" i="33"/>
  <c r="R47" i="33" s="1"/>
  <c r="K46" i="33"/>
  <c r="M46" i="33"/>
  <c r="N46" i="33"/>
  <c r="O46" i="33"/>
  <c r="P46" i="33"/>
  <c r="Q46" i="33"/>
  <c r="R46" i="33"/>
  <c r="K47" i="33"/>
  <c r="M47" i="33"/>
  <c r="O47" i="33"/>
  <c r="Q47" i="33"/>
  <c r="K49" i="33"/>
  <c r="L49" i="33"/>
  <c r="M49" i="33"/>
  <c r="N49" i="33"/>
  <c r="O49" i="33"/>
  <c r="P49" i="33"/>
  <c r="Q49" i="33"/>
  <c r="R49" i="33"/>
  <c r="J49" i="33"/>
  <c r="J43" i="33"/>
  <c r="J47" i="33" s="1"/>
  <c r="J28" i="33"/>
  <c r="J46" i="33" s="1"/>
  <c r="I49" i="33"/>
  <c r="I47" i="33"/>
  <c r="H49" i="33"/>
  <c r="G49" i="33"/>
  <c r="U49" i="24"/>
  <c r="U47" i="24"/>
  <c r="U46" i="24"/>
  <c r="U43" i="24"/>
  <c r="I43" i="33" s="1"/>
  <c r="U28" i="24"/>
  <c r="I28" i="33" s="1"/>
  <c r="I46" i="33" s="1"/>
  <c r="T49" i="24"/>
  <c r="T43" i="24"/>
  <c r="H43" i="33" s="1"/>
  <c r="H47" i="33" s="1"/>
  <c r="T28" i="24"/>
  <c r="S49" i="24"/>
  <c r="S43" i="24"/>
  <c r="S28" i="24"/>
  <c r="H12" i="9"/>
  <c r="I18" i="48"/>
  <c r="J18" i="48"/>
  <c r="K18" i="48"/>
  <c r="L18" i="48"/>
  <c r="M18" i="48"/>
  <c r="N18" i="48"/>
  <c r="O18" i="48"/>
  <c r="P18" i="48"/>
  <c r="Q18" i="48"/>
  <c r="R18" i="48"/>
  <c r="H18" i="48"/>
  <c r="J9" i="47"/>
  <c r="L9" i="47"/>
  <c r="N9" i="47"/>
  <c r="P9" i="47"/>
  <c r="J10" i="47"/>
  <c r="L10" i="47"/>
  <c r="N10" i="47"/>
  <c r="P10" i="47"/>
  <c r="J11" i="47"/>
  <c r="L11" i="47"/>
  <c r="N11" i="47"/>
  <c r="P11" i="47"/>
  <c r="J12" i="47"/>
  <c r="L12" i="47"/>
  <c r="N12" i="47"/>
  <c r="P12" i="47"/>
  <c r="J13" i="47"/>
  <c r="L13" i="47"/>
  <c r="N13" i="47"/>
  <c r="P13" i="47"/>
  <c r="L8" i="47"/>
  <c r="N8" i="47"/>
  <c r="P8" i="47"/>
  <c r="J8" i="47"/>
  <c r="P45" i="47"/>
  <c r="N45" i="47"/>
  <c r="L45" i="47"/>
  <c r="J45" i="47"/>
  <c r="H45" i="47"/>
  <c r="P44" i="47"/>
  <c r="N44" i="47"/>
  <c r="L44" i="47"/>
  <c r="J44" i="47"/>
  <c r="H44" i="47"/>
  <c r="P43" i="47"/>
  <c r="N43" i="47"/>
  <c r="L43" i="47"/>
  <c r="J43" i="47"/>
  <c r="H43" i="47"/>
  <c r="P42" i="47"/>
  <c r="N42" i="47"/>
  <c r="L42" i="47"/>
  <c r="J42" i="47"/>
  <c r="H42" i="47"/>
  <c r="P41" i="47"/>
  <c r="N41" i="47"/>
  <c r="L41" i="47"/>
  <c r="J41" i="47"/>
  <c r="H41" i="47"/>
  <c r="P40" i="47"/>
  <c r="N40" i="47"/>
  <c r="L40" i="47"/>
  <c r="J40" i="47"/>
  <c r="H40" i="47"/>
  <c r="S47" i="24" l="1"/>
  <c r="G43" i="33"/>
  <c r="G47" i="33" s="1"/>
  <c r="T47" i="24"/>
  <c r="T46" i="24"/>
  <c r="H28" i="33"/>
  <c r="H46" i="33" s="1"/>
  <c r="S46" i="24"/>
  <c r="G28" i="33"/>
  <c r="G46" i="33" s="1"/>
  <c r="G13" i="33"/>
  <c r="F20" i="1"/>
  <c r="F22" i="1"/>
  <c r="F25" i="1" s="1"/>
  <c r="H14" i="33"/>
  <c r="G15" i="33"/>
  <c r="R14" i="23"/>
  <c r="G16" i="33"/>
  <c r="H16" i="39"/>
  <c r="T16" i="38" s="1"/>
  <c r="S16" i="28"/>
  <c r="S17" i="28" s="1"/>
  <c r="I11" i="33"/>
  <c r="J11" i="33"/>
  <c r="J21" i="33" s="1"/>
  <c r="T49" i="2" s="1"/>
  <c r="S16" i="23"/>
  <c r="H16" i="33"/>
  <c r="S15" i="23"/>
  <c r="H15" i="33"/>
  <c r="S12" i="23"/>
  <c r="H12" i="33"/>
  <c r="S13" i="23"/>
  <c r="H13" i="33"/>
  <c r="K21" i="33"/>
  <c r="U49" i="2" s="1"/>
  <c r="L48" i="33"/>
  <c r="L50" i="33" s="1"/>
  <c r="F36" i="1"/>
  <c r="F15" i="23" s="1"/>
  <c r="G15" i="24" s="1"/>
  <c r="Q50" i="33"/>
  <c r="Q21" i="33"/>
  <c r="AA49" i="2" s="1"/>
  <c r="O48" i="33"/>
  <c r="O50" i="33" s="1"/>
  <c r="N48" i="33"/>
  <c r="N50" i="33" s="1"/>
  <c r="P48" i="33"/>
  <c r="P50" i="33" s="1"/>
  <c r="R21" i="33"/>
  <c r="AB49" i="2" s="1"/>
  <c r="M48" i="33"/>
  <c r="M50" i="33" s="1"/>
  <c r="K50" i="33"/>
  <c r="R50" i="33"/>
  <c r="T22" i="48"/>
  <c r="T21" i="48"/>
  <c r="T20" i="48"/>
  <c r="S18" i="48"/>
  <c r="T18" i="48" s="1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C7" i="16"/>
  <c r="B7" i="16"/>
  <c r="H10" i="9"/>
  <c r="U30" i="29"/>
  <c r="U31" i="29"/>
  <c r="U32" i="29"/>
  <c r="U29" i="29"/>
  <c r="G10" i="9"/>
  <c r="U19" i="28"/>
  <c r="U20" i="28"/>
  <c r="U21" i="28"/>
  <c r="U22" i="28"/>
  <c r="U60" i="29"/>
  <c r="U58" i="29"/>
  <c r="U38" i="29"/>
  <c r="U42" i="29"/>
  <c r="U43" i="29"/>
  <c r="H9" i="9" s="1"/>
  <c r="U44" i="29"/>
  <c r="U45" i="29"/>
  <c r="H11" i="9" s="1"/>
  <c r="U46" i="29"/>
  <c r="U47" i="29"/>
  <c r="U48" i="29"/>
  <c r="U49" i="29"/>
  <c r="U50" i="29"/>
  <c r="U51" i="29"/>
  <c r="U52" i="29"/>
  <c r="U53" i="29"/>
  <c r="U54" i="29"/>
  <c r="U55" i="29"/>
  <c r="U41" i="29"/>
  <c r="U20" i="29"/>
  <c r="U21" i="29"/>
  <c r="U22" i="29"/>
  <c r="U19" i="29"/>
  <c r="U18" i="29"/>
  <c r="U19" i="27"/>
  <c r="F10" i="9" s="1"/>
  <c r="U20" i="27"/>
  <c r="U21" i="27"/>
  <c r="U22" i="27"/>
  <c r="E12" i="9"/>
  <c r="U33" i="26"/>
  <c r="U31" i="26"/>
  <c r="U32" i="26"/>
  <c r="U19" i="26"/>
  <c r="U20" i="26"/>
  <c r="U21" i="26"/>
  <c r="U22" i="26"/>
  <c r="U23" i="26"/>
  <c r="U24" i="26"/>
  <c r="U25" i="26"/>
  <c r="U19" i="23"/>
  <c r="D10" i="9" s="1"/>
  <c r="U20" i="23"/>
  <c r="U21" i="23"/>
  <c r="U22" i="23"/>
  <c r="U29" i="23"/>
  <c r="U30" i="23"/>
  <c r="D12" i="9" s="1"/>
  <c r="U31" i="23"/>
  <c r="U32" i="23"/>
  <c r="U33" i="23"/>
  <c r="U34" i="23"/>
  <c r="U35" i="23"/>
  <c r="U36" i="23"/>
  <c r="G18" i="29"/>
  <c r="L47" i="45" s="1"/>
  <c r="H18" i="29"/>
  <c r="M47" i="45" s="1"/>
  <c r="I18" i="29"/>
  <c r="N47" i="45" s="1"/>
  <c r="J18" i="29"/>
  <c r="K18" i="29"/>
  <c r="P47" i="45" s="1"/>
  <c r="L18" i="29"/>
  <c r="M18" i="29"/>
  <c r="N18" i="29"/>
  <c r="S47" i="45" s="1"/>
  <c r="O18" i="29"/>
  <c r="T47" i="45" s="1"/>
  <c r="P18" i="29"/>
  <c r="Q18" i="29"/>
  <c r="V47" i="45" s="1"/>
  <c r="F18" i="29"/>
  <c r="K47" i="45" s="1"/>
  <c r="F18" i="28"/>
  <c r="K47" i="44" s="1"/>
  <c r="G18" i="28"/>
  <c r="H18" i="28"/>
  <c r="I18" i="28"/>
  <c r="J18" i="28"/>
  <c r="K18" i="28"/>
  <c r="L18" i="28"/>
  <c r="Q47" i="44" s="1"/>
  <c r="M18" i="28"/>
  <c r="R47" i="44" s="1"/>
  <c r="N18" i="28"/>
  <c r="O18" i="28"/>
  <c r="P18" i="28"/>
  <c r="Q18" i="28"/>
  <c r="R18" i="28"/>
  <c r="S18" i="28"/>
  <c r="T18" i="28"/>
  <c r="G18" i="27"/>
  <c r="AD43" i="2" s="1"/>
  <c r="H18" i="27"/>
  <c r="AE43" i="2" s="1"/>
  <c r="I18" i="27"/>
  <c r="AF43" i="2" s="1"/>
  <c r="J18" i="27"/>
  <c r="AG43" i="2" s="1"/>
  <c r="K18" i="27"/>
  <c r="L18" i="27"/>
  <c r="M18" i="27"/>
  <c r="AJ43" i="2" s="1"/>
  <c r="N18" i="27"/>
  <c r="O18" i="27"/>
  <c r="AL43" i="2" s="1"/>
  <c r="P18" i="27"/>
  <c r="Q18" i="27"/>
  <c r="AN43" i="2" s="1"/>
  <c r="R18" i="27"/>
  <c r="S18" i="27"/>
  <c r="T18" i="27"/>
  <c r="F18" i="27"/>
  <c r="H18" i="26"/>
  <c r="S43" i="2" s="1"/>
  <c r="G18" i="26"/>
  <c r="R43" i="2" s="1"/>
  <c r="F18" i="26"/>
  <c r="Q43" i="2" s="1"/>
  <c r="I18" i="26"/>
  <c r="T43" i="2" s="1"/>
  <c r="J18" i="26"/>
  <c r="U43" i="2" s="1"/>
  <c r="K18" i="26"/>
  <c r="V43" i="2" s="1"/>
  <c r="L18" i="26"/>
  <c r="W43" i="2" s="1"/>
  <c r="M18" i="26"/>
  <c r="X43" i="2" s="1"/>
  <c r="N18" i="26"/>
  <c r="Y43" i="2" s="1"/>
  <c r="O18" i="26"/>
  <c r="Z43" i="2" s="1"/>
  <c r="P18" i="26"/>
  <c r="AA43" i="2" s="1"/>
  <c r="Q18" i="26"/>
  <c r="AB43" i="2" s="1"/>
  <c r="R18" i="26"/>
  <c r="S18" i="26"/>
  <c r="T18" i="26"/>
  <c r="G18" i="23"/>
  <c r="H18" i="23"/>
  <c r="I18" i="23"/>
  <c r="H43" i="2" s="1"/>
  <c r="J18" i="23"/>
  <c r="I43" i="2" s="1"/>
  <c r="K18" i="23"/>
  <c r="J43" i="2" s="1"/>
  <c r="L18" i="23"/>
  <c r="K43" i="2" s="1"/>
  <c r="M18" i="23"/>
  <c r="N18" i="23"/>
  <c r="O18" i="23"/>
  <c r="P18" i="23"/>
  <c r="Q18" i="23"/>
  <c r="R18" i="23"/>
  <c r="S18" i="23"/>
  <c r="T18" i="23"/>
  <c r="F18" i="23"/>
  <c r="U41" i="28"/>
  <c r="U42" i="28"/>
  <c r="U43" i="28"/>
  <c r="G9" i="9" s="1"/>
  <c r="U44" i="28"/>
  <c r="U45" i="28"/>
  <c r="G11" i="9" s="1"/>
  <c r="U58" i="28"/>
  <c r="U29" i="28"/>
  <c r="U30" i="28"/>
  <c r="G12" i="9" s="1"/>
  <c r="U31" i="28"/>
  <c r="U32" i="28"/>
  <c r="U38" i="28"/>
  <c r="H56" i="28"/>
  <c r="M55" i="44" s="1"/>
  <c r="G56" i="28"/>
  <c r="L55" i="44" s="1"/>
  <c r="F56" i="28"/>
  <c r="H37" i="28"/>
  <c r="M51" i="44" s="1"/>
  <c r="G37" i="28"/>
  <c r="L51" i="44" s="1"/>
  <c r="F37" i="28"/>
  <c r="K51" i="44" s="1"/>
  <c r="H17" i="28"/>
  <c r="AQ42" i="2" s="1"/>
  <c r="G17" i="28"/>
  <c r="F17" i="28"/>
  <c r="U29" i="27"/>
  <c r="U30" i="27"/>
  <c r="F12" i="9" s="1"/>
  <c r="U31" i="27"/>
  <c r="U32" i="27"/>
  <c r="U39" i="27"/>
  <c r="U42" i="27"/>
  <c r="U43" i="27"/>
  <c r="U44" i="27"/>
  <c r="F9" i="9" s="1"/>
  <c r="U45" i="27"/>
  <c r="U46" i="27"/>
  <c r="F11" i="9" s="1"/>
  <c r="U60" i="27"/>
  <c r="H58" i="27"/>
  <c r="G58" i="27"/>
  <c r="L55" i="32" s="1"/>
  <c r="F58" i="27"/>
  <c r="K55" i="32" s="1"/>
  <c r="H38" i="27"/>
  <c r="G38" i="27"/>
  <c r="AD44" i="2" s="1"/>
  <c r="F38" i="27"/>
  <c r="AC44" i="2" s="1"/>
  <c r="H17" i="27"/>
  <c r="G17" i="27"/>
  <c r="F17" i="27"/>
  <c r="AC42" i="2" s="1"/>
  <c r="H17" i="26"/>
  <c r="G17" i="26"/>
  <c r="R42" i="2" s="1"/>
  <c r="F17" i="26"/>
  <c r="U42" i="23"/>
  <c r="U43" i="23"/>
  <c r="U44" i="23"/>
  <c r="D9" i="9" s="1"/>
  <c r="U45" i="23"/>
  <c r="U46" i="23"/>
  <c r="D11" i="9" s="1"/>
  <c r="U60" i="23"/>
  <c r="F55" i="1" s="1"/>
  <c r="U39" i="23"/>
  <c r="U61" i="26"/>
  <c r="G55" i="1" s="1"/>
  <c r="U43" i="26"/>
  <c r="U44" i="26"/>
  <c r="U45" i="26"/>
  <c r="E9" i="9" s="1"/>
  <c r="U46" i="26"/>
  <c r="U47" i="26"/>
  <c r="E11" i="9" s="1"/>
  <c r="U30" i="26"/>
  <c r="U40" i="26"/>
  <c r="E10" i="9" s="1"/>
  <c r="G37" i="29"/>
  <c r="L51" i="45" s="1"/>
  <c r="H37" i="29"/>
  <c r="M51" i="45" s="1"/>
  <c r="I37" i="29"/>
  <c r="N51" i="45" s="1"/>
  <c r="J37" i="29"/>
  <c r="K37" i="29"/>
  <c r="P51" i="45" s="1"/>
  <c r="L37" i="29"/>
  <c r="Q51" i="45" s="1"/>
  <c r="M37" i="29"/>
  <c r="R51" i="45" s="1"/>
  <c r="N37" i="29"/>
  <c r="O37" i="29"/>
  <c r="T51" i="45" s="1"/>
  <c r="P37" i="29"/>
  <c r="U51" i="45" s="1"/>
  <c r="Q37" i="29"/>
  <c r="V51" i="45" s="1"/>
  <c r="F37" i="29"/>
  <c r="K51" i="45" s="1"/>
  <c r="I37" i="28"/>
  <c r="J37" i="28"/>
  <c r="K37" i="28"/>
  <c r="P51" i="44" s="1"/>
  <c r="L37" i="28"/>
  <c r="Q51" i="44" s="1"/>
  <c r="M37" i="28"/>
  <c r="R51" i="44" s="1"/>
  <c r="N37" i="28"/>
  <c r="O37" i="28"/>
  <c r="T51" i="44" s="1"/>
  <c r="P37" i="28"/>
  <c r="U51" i="44" s="1"/>
  <c r="Q37" i="28"/>
  <c r="V51" i="44" s="1"/>
  <c r="R37" i="28"/>
  <c r="S37" i="28"/>
  <c r="T37" i="28"/>
  <c r="I38" i="27"/>
  <c r="J38" i="27"/>
  <c r="K38" i="27"/>
  <c r="AH44" i="2" s="1"/>
  <c r="L38" i="27"/>
  <c r="M38" i="27"/>
  <c r="N38" i="27"/>
  <c r="O38" i="27"/>
  <c r="AL44" i="2" s="1"/>
  <c r="P38" i="27"/>
  <c r="Q38" i="27"/>
  <c r="R38" i="27"/>
  <c r="S38" i="27"/>
  <c r="T38" i="27"/>
  <c r="G39" i="26"/>
  <c r="H39" i="26"/>
  <c r="I39" i="26"/>
  <c r="T44" i="2" s="1"/>
  <c r="J39" i="26"/>
  <c r="U44" i="2" s="1"/>
  <c r="K39" i="26"/>
  <c r="L39" i="26"/>
  <c r="M39" i="26"/>
  <c r="X44" i="2" s="1"/>
  <c r="N39" i="26"/>
  <c r="O39" i="26"/>
  <c r="P39" i="26"/>
  <c r="Q39" i="26"/>
  <c r="AB44" i="2" s="1"/>
  <c r="R39" i="26"/>
  <c r="S39" i="26"/>
  <c r="T39" i="26"/>
  <c r="F39" i="26"/>
  <c r="Q44" i="2" s="1"/>
  <c r="G38" i="23"/>
  <c r="H38" i="23"/>
  <c r="G44" i="2" s="1"/>
  <c r="I38" i="23"/>
  <c r="J38" i="23"/>
  <c r="I44" i="2" s="1"/>
  <c r="K38" i="23"/>
  <c r="J44" i="2" s="1"/>
  <c r="L38" i="23"/>
  <c r="K44" i="2" s="1"/>
  <c r="M38" i="23"/>
  <c r="N38" i="23"/>
  <c r="M44" i="2" s="1"/>
  <c r="O38" i="23"/>
  <c r="P38" i="23"/>
  <c r="O44" i="2" s="1"/>
  <c r="Q38" i="23"/>
  <c r="P44" i="2" s="1"/>
  <c r="R38" i="23"/>
  <c r="S38" i="23"/>
  <c r="T38" i="23"/>
  <c r="F38" i="23"/>
  <c r="S92" i="45"/>
  <c r="T92" i="45"/>
  <c r="U92" i="45"/>
  <c r="V92" i="45"/>
  <c r="L61" i="45"/>
  <c r="M61" i="45"/>
  <c r="N61" i="45"/>
  <c r="O61" i="45"/>
  <c r="P61" i="45"/>
  <c r="Q61" i="45"/>
  <c r="R61" i="45"/>
  <c r="S61" i="45"/>
  <c r="T61" i="45"/>
  <c r="U61" i="45"/>
  <c r="V61" i="45"/>
  <c r="K61" i="45"/>
  <c r="L59" i="45"/>
  <c r="M59" i="45"/>
  <c r="N59" i="45"/>
  <c r="O59" i="45"/>
  <c r="P59" i="45"/>
  <c r="Q59" i="45"/>
  <c r="R59" i="45"/>
  <c r="S59" i="45"/>
  <c r="T59" i="45"/>
  <c r="U59" i="45"/>
  <c r="V59" i="45"/>
  <c r="K59" i="45"/>
  <c r="L53" i="45"/>
  <c r="M53" i="45"/>
  <c r="N53" i="45"/>
  <c r="O53" i="45"/>
  <c r="P53" i="45"/>
  <c r="Q53" i="45"/>
  <c r="R53" i="45"/>
  <c r="S53" i="45"/>
  <c r="T53" i="45"/>
  <c r="U53" i="45"/>
  <c r="V53" i="45"/>
  <c r="K53" i="45"/>
  <c r="O51" i="45"/>
  <c r="O47" i="45"/>
  <c r="Q47" i="45"/>
  <c r="R47" i="45"/>
  <c r="U47" i="45"/>
  <c r="M15" i="45"/>
  <c r="N15" i="45"/>
  <c r="O15" i="45"/>
  <c r="P15" i="45"/>
  <c r="Q15" i="45"/>
  <c r="R15" i="45"/>
  <c r="S15" i="45"/>
  <c r="T15" i="45"/>
  <c r="U15" i="45"/>
  <c r="V15" i="45"/>
  <c r="L15" i="45"/>
  <c r="M12" i="45"/>
  <c r="N12" i="45"/>
  <c r="O12" i="45"/>
  <c r="P12" i="45"/>
  <c r="Q12" i="45"/>
  <c r="R12" i="45"/>
  <c r="S12" i="45"/>
  <c r="T12" i="45"/>
  <c r="U12" i="45"/>
  <c r="V12" i="45"/>
  <c r="L12" i="45"/>
  <c r="N9" i="45"/>
  <c r="P9" i="45"/>
  <c r="Q9" i="45"/>
  <c r="S9" i="45"/>
  <c r="V9" i="45"/>
  <c r="K9" i="45"/>
  <c r="M7" i="45"/>
  <c r="N7" i="45"/>
  <c r="O7" i="45"/>
  <c r="P7" i="45"/>
  <c r="Q7" i="45"/>
  <c r="R7" i="45"/>
  <c r="S7" i="45"/>
  <c r="T7" i="45"/>
  <c r="U7" i="45"/>
  <c r="V7" i="45"/>
  <c r="L7" i="45"/>
  <c r="L6" i="45"/>
  <c r="M6" i="45"/>
  <c r="N6" i="45"/>
  <c r="O6" i="45"/>
  <c r="P6" i="45"/>
  <c r="Q6" i="45"/>
  <c r="R6" i="45"/>
  <c r="S6" i="45"/>
  <c r="T6" i="45"/>
  <c r="U6" i="45"/>
  <c r="V6" i="45"/>
  <c r="K6" i="45"/>
  <c r="L61" i="44"/>
  <c r="M61" i="44"/>
  <c r="N61" i="44"/>
  <c r="O61" i="44"/>
  <c r="P61" i="44"/>
  <c r="Q61" i="44"/>
  <c r="R61" i="44"/>
  <c r="S61" i="44"/>
  <c r="T61" i="44"/>
  <c r="U61" i="44"/>
  <c r="V61" i="44"/>
  <c r="K61" i="44"/>
  <c r="L59" i="44"/>
  <c r="M59" i="44"/>
  <c r="N59" i="44"/>
  <c r="O59" i="44"/>
  <c r="P59" i="44"/>
  <c r="Q59" i="44"/>
  <c r="R59" i="44"/>
  <c r="S59" i="44"/>
  <c r="T59" i="44"/>
  <c r="U59" i="44"/>
  <c r="V59" i="44"/>
  <c r="K59" i="44"/>
  <c r="L53" i="44"/>
  <c r="M53" i="44"/>
  <c r="N53" i="44"/>
  <c r="O53" i="44"/>
  <c r="P53" i="44"/>
  <c r="Q53" i="44"/>
  <c r="R53" i="44"/>
  <c r="S53" i="44"/>
  <c r="T53" i="44"/>
  <c r="U53" i="44"/>
  <c r="V53" i="44"/>
  <c r="K53" i="44"/>
  <c r="N51" i="44"/>
  <c r="O51" i="44"/>
  <c r="L47" i="44"/>
  <c r="M47" i="44"/>
  <c r="N47" i="44"/>
  <c r="O47" i="44"/>
  <c r="P47" i="44"/>
  <c r="S47" i="44"/>
  <c r="T47" i="44"/>
  <c r="U47" i="44"/>
  <c r="V47" i="44"/>
  <c r="M15" i="44"/>
  <c r="N15" i="44"/>
  <c r="O15" i="44"/>
  <c r="P15" i="44"/>
  <c r="Q15" i="44"/>
  <c r="R15" i="44"/>
  <c r="S15" i="44"/>
  <c r="T15" i="44"/>
  <c r="U15" i="44"/>
  <c r="V15" i="44"/>
  <c r="L15" i="44"/>
  <c r="M12" i="44"/>
  <c r="N12" i="44"/>
  <c r="O12" i="44"/>
  <c r="P12" i="44"/>
  <c r="Q12" i="44"/>
  <c r="R12" i="44"/>
  <c r="S12" i="44"/>
  <c r="T12" i="44"/>
  <c r="U12" i="44"/>
  <c r="V12" i="44"/>
  <c r="L12" i="44"/>
  <c r="M9" i="44"/>
  <c r="U9" i="44"/>
  <c r="M7" i="44"/>
  <c r="N7" i="44"/>
  <c r="O7" i="44"/>
  <c r="P7" i="44"/>
  <c r="Q7" i="44"/>
  <c r="R7" i="44"/>
  <c r="S7" i="44"/>
  <c r="T7" i="44"/>
  <c r="U7" i="44"/>
  <c r="V7" i="44"/>
  <c r="L7" i="44"/>
  <c r="L6" i="44"/>
  <c r="M6" i="44"/>
  <c r="N6" i="44"/>
  <c r="O6" i="44"/>
  <c r="P6" i="44"/>
  <c r="Q6" i="44"/>
  <c r="R6" i="44"/>
  <c r="S6" i="44"/>
  <c r="T6" i="44"/>
  <c r="U6" i="44"/>
  <c r="V6" i="44"/>
  <c r="K6" i="44"/>
  <c r="M15" i="32"/>
  <c r="N15" i="32"/>
  <c r="O15" i="32"/>
  <c r="P15" i="32"/>
  <c r="Q15" i="32"/>
  <c r="R15" i="32"/>
  <c r="S15" i="32"/>
  <c r="T15" i="32"/>
  <c r="U15" i="32"/>
  <c r="V15" i="32"/>
  <c r="L15" i="32"/>
  <c r="M12" i="32"/>
  <c r="N12" i="32"/>
  <c r="O12" i="32"/>
  <c r="P12" i="32"/>
  <c r="Q12" i="32"/>
  <c r="R12" i="32"/>
  <c r="S12" i="32"/>
  <c r="T12" i="32"/>
  <c r="U12" i="32"/>
  <c r="V12" i="32"/>
  <c r="L12" i="32"/>
  <c r="M7" i="32"/>
  <c r="N7" i="32"/>
  <c r="O7" i="32"/>
  <c r="P7" i="32"/>
  <c r="Q7" i="32"/>
  <c r="R7" i="32"/>
  <c r="S7" i="32"/>
  <c r="T7" i="32"/>
  <c r="U7" i="32"/>
  <c r="V7" i="32"/>
  <c r="L7" i="32"/>
  <c r="L6" i="32"/>
  <c r="M6" i="32"/>
  <c r="N6" i="32"/>
  <c r="O6" i="32"/>
  <c r="P6" i="32"/>
  <c r="Q6" i="32"/>
  <c r="R6" i="32"/>
  <c r="S6" i="32"/>
  <c r="T6" i="32"/>
  <c r="U6" i="32"/>
  <c r="V6" i="32"/>
  <c r="K6" i="32"/>
  <c r="M15" i="31"/>
  <c r="N15" i="31"/>
  <c r="O15" i="31"/>
  <c r="P15" i="31"/>
  <c r="Q15" i="31"/>
  <c r="R15" i="31"/>
  <c r="S15" i="31"/>
  <c r="T15" i="31"/>
  <c r="U15" i="31"/>
  <c r="V15" i="31"/>
  <c r="L15" i="31"/>
  <c r="M12" i="31"/>
  <c r="N12" i="31"/>
  <c r="O12" i="31"/>
  <c r="P12" i="31"/>
  <c r="Q12" i="31"/>
  <c r="R12" i="31"/>
  <c r="S12" i="31"/>
  <c r="T12" i="31"/>
  <c r="U12" i="31"/>
  <c r="V12" i="31"/>
  <c r="L12" i="31"/>
  <c r="M7" i="31"/>
  <c r="N7" i="31"/>
  <c r="O7" i="31"/>
  <c r="P7" i="31"/>
  <c r="Q7" i="31"/>
  <c r="R7" i="31"/>
  <c r="S7" i="31"/>
  <c r="T7" i="31"/>
  <c r="U7" i="31"/>
  <c r="V7" i="31"/>
  <c r="L7" i="31"/>
  <c r="L6" i="31"/>
  <c r="M6" i="31"/>
  <c r="N6" i="31"/>
  <c r="O6" i="31"/>
  <c r="P6" i="31"/>
  <c r="Q6" i="31"/>
  <c r="R6" i="31"/>
  <c r="S6" i="31"/>
  <c r="T6" i="31"/>
  <c r="U6" i="31"/>
  <c r="V6" i="31"/>
  <c r="K6" i="31"/>
  <c r="K90" i="30"/>
  <c r="G27" i="25"/>
  <c r="L15" i="30"/>
  <c r="M15" i="30"/>
  <c r="N15" i="30"/>
  <c r="O15" i="30"/>
  <c r="P15" i="30"/>
  <c r="Q15" i="30"/>
  <c r="R15" i="30"/>
  <c r="S15" i="30"/>
  <c r="T15" i="30"/>
  <c r="U15" i="30"/>
  <c r="V15" i="30"/>
  <c r="L12" i="30"/>
  <c r="M12" i="30"/>
  <c r="N12" i="30"/>
  <c r="O12" i="30"/>
  <c r="P12" i="30"/>
  <c r="Q12" i="30"/>
  <c r="R12" i="30"/>
  <c r="S12" i="30"/>
  <c r="T12" i="30"/>
  <c r="U12" i="30"/>
  <c r="V12" i="30"/>
  <c r="L7" i="30"/>
  <c r="M7" i="30"/>
  <c r="N7" i="30"/>
  <c r="O7" i="30"/>
  <c r="P7" i="30"/>
  <c r="Q7" i="30"/>
  <c r="R7" i="30"/>
  <c r="S7" i="30"/>
  <c r="T7" i="30"/>
  <c r="U7" i="30"/>
  <c r="V7" i="30"/>
  <c r="L6" i="30"/>
  <c r="M6" i="30"/>
  <c r="N6" i="30"/>
  <c r="O6" i="30"/>
  <c r="P6" i="30"/>
  <c r="Q6" i="30"/>
  <c r="R6" i="30"/>
  <c r="S6" i="30"/>
  <c r="T6" i="30"/>
  <c r="U6" i="30"/>
  <c r="V6" i="30"/>
  <c r="K6" i="30"/>
  <c r="V34" i="39"/>
  <c r="V34" i="38"/>
  <c r="W34" i="33"/>
  <c r="V34" i="33"/>
  <c r="V18" i="39"/>
  <c r="V18" i="38"/>
  <c r="V18" i="37"/>
  <c r="V18" i="33"/>
  <c r="V18" i="24"/>
  <c r="R49" i="39"/>
  <c r="Q49" i="39"/>
  <c r="P49" i="39"/>
  <c r="O49" i="39"/>
  <c r="N49" i="39"/>
  <c r="M49" i="39"/>
  <c r="L49" i="39"/>
  <c r="K49" i="39"/>
  <c r="J49" i="39"/>
  <c r="I49" i="39"/>
  <c r="H49" i="39"/>
  <c r="G49" i="39"/>
  <c r="P46" i="39"/>
  <c r="M46" i="39"/>
  <c r="L46" i="39"/>
  <c r="R43" i="39"/>
  <c r="R47" i="39" s="1"/>
  <c r="Q43" i="39"/>
  <c r="Q47" i="39" s="1"/>
  <c r="P43" i="39"/>
  <c r="P47" i="39" s="1"/>
  <c r="O43" i="39"/>
  <c r="O47" i="39" s="1"/>
  <c r="N43" i="39"/>
  <c r="N47" i="39" s="1"/>
  <c r="M43" i="39"/>
  <c r="M47" i="39" s="1"/>
  <c r="L43" i="39"/>
  <c r="L47" i="39" s="1"/>
  <c r="K43" i="39"/>
  <c r="K47" i="39" s="1"/>
  <c r="J43" i="39"/>
  <c r="J47" i="39" s="1"/>
  <c r="I43" i="39"/>
  <c r="H43" i="39"/>
  <c r="G43" i="39"/>
  <c r="R28" i="39"/>
  <c r="R46" i="39" s="1"/>
  <c r="Q28" i="39"/>
  <c r="Q46" i="39" s="1"/>
  <c r="P28" i="39"/>
  <c r="T9" i="45" s="1"/>
  <c r="O28" i="39"/>
  <c r="O46" i="39" s="1"/>
  <c r="N28" i="39"/>
  <c r="N46" i="39" s="1"/>
  <c r="M28" i="39"/>
  <c r="L28" i="39"/>
  <c r="K28" i="39"/>
  <c r="O9" i="45" s="1"/>
  <c r="J28" i="39"/>
  <c r="J46" i="39" s="1"/>
  <c r="I28" i="39"/>
  <c r="M9" i="45" s="1"/>
  <c r="H28" i="39"/>
  <c r="T28" i="38" s="1"/>
  <c r="T46" i="38" s="1"/>
  <c r="G28" i="39"/>
  <c r="R11" i="39"/>
  <c r="R21" i="39" s="1"/>
  <c r="BL49" i="2" s="1"/>
  <c r="Q11" i="39"/>
  <c r="Q21" i="39" s="1"/>
  <c r="BK49" i="2" s="1"/>
  <c r="P11" i="39"/>
  <c r="P48" i="39" s="1"/>
  <c r="O11" i="39"/>
  <c r="O21" i="39" s="1"/>
  <c r="BI49" i="2" s="1"/>
  <c r="N11" i="39"/>
  <c r="N21" i="39" s="1"/>
  <c r="BH49" i="2" s="1"/>
  <c r="M11" i="39"/>
  <c r="Q5" i="45" s="1"/>
  <c r="L11" i="39"/>
  <c r="L21" i="39" s="1"/>
  <c r="BF49" i="2" s="1"/>
  <c r="K11" i="39"/>
  <c r="K21" i="39" s="1"/>
  <c r="BE49" i="2" s="1"/>
  <c r="J11" i="39"/>
  <c r="J21" i="39" s="1"/>
  <c r="BD49" i="2" s="1"/>
  <c r="I11" i="39"/>
  <c r="G11" i="39"/>
  <c r="G48" i="39" s="1"/>
  <c r="U49" i="38"/>
  <c r="T49" i="38"/>
  <c r="S49" i="38"/>
  <c r="R49" i="38"/>
  <c r="Q49" i="38"/>
  <c r="P49" i="38"/>
  <c r="O49" i="38"/>
  <c r="N49" i="38"/>
  <c r="M49" i="38"/>
  <c r="L49" i="38"/>
  <c r="K49" i="38"/>
  <c r="J49" i="38"/>
  <c r="I49" i="38"/>
  <c r="H49" i="38"/>
  <c r="G49" i="38"/>
  <c r="Q46" i="38"/>
  <c r="R43" i="38"/>
  <c r="R47" i="38" s="1"/>
  <c r="Q43" i="38"/>
  <c r="Q47" i="38" s="1"/>
  <c r="P43" i="38"/>
  <c r="P47" i="38" s="1"/>
  <c r="O43" i="38"/>
  <c r="O47" i="38" s="1"/>
  <c r="N43" i="38"/>
  <c r="N47" i="38" s="1"/>
  <c r="M43" i="38"/>
  <c r="M47" i="38" s="1"/>
  <c r="L43" i="38"/>
  <c r="L47" i="38" s="1"/>
  <c r="K43" i="38"/>
  <c r="K47" i="38" s="1"/>
  <c r="J43" i="38"/>
  <c r="J47" i="38" s="1"/>
  <c r="I43" i="38"/>
  <c r="H43" i="38"/>
  <c r="G43" i="38"/>
  <c r="R28" i="38"/>
  <c r="V9" i="44" s="1"/>
  <c r="Q28" i="38"/>
  <c r="P28" i="38"/>
  <c r="P46" i="38" s="1"/>
  <c r="O28" i="38"/>
  <c r="O46" i="38" s="1"/>
  <c r="N28" i="38"/>
  <c r="N46" i="38" s="1"/>
  <c r="M28" i="38"/>
  <c r="M46" i="38" s="1"/>
  <c r="L28" i="38"/>
  <c r="L46" i="38" s="1"/>
  <c r="K28" i="38"/>
  <c r="K46" i="38" s="1"/>
  <c r="J28" i="38"/>
  <c r="N9" i="44" s="1"/>
  <c r="I28" i="38"/>
  <c r="U28" i="37" s="1"/>
  <c r="H28" i="38"/>
  <c r="G28" i="38"/>
  <c r="R11" i="38"/>
  <c r="R21" i="38" s="1"/>
  <c r="AZ49" i="2" s="1"/>
  <c r="Q11" i="38"/>
  <c r="Q48" i="38" s="1"/>
  <c r="P11" i="38"/>
  <c r="P48" i="38" s="1"/>
  <c r="O11" i="38"/>
  <c r="O21" i="38" s="1"/>
  <c r="AW49" i="2" s="1"/>
  <c r="N11" i="38"/>
  <c r="N48" i="38" s="1"/>
  <c r="M11" i="38"/>
  <c r="M48" i="38" s="1"/>
  <c r="L11" i="38"/>
  <c r="L21" i="38" s="1"/>
  <c r="AT49" i="2" s="1"/>
  <c r="K11" i="38"/>
  <c r="K21" i="38" s="1"/>
  <c r="AS49" i="2" s="1"/>
  <c r="J11" i="38"/>
  <c r="J21" i="38" s="1"/>
  <c r="AR49" i="2" s="1"/>
  <c r="I11" i="38"/>
  <c r="H11" i="38"/>
  <c r="G11" i="38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R43" i="37"/>
  <c r="R47" i="37" s="1"/>
  <c r="Q43" i="37"/>
  <c r="Q47" i="37" s="1"/>
  <c r="P43" i="37"/>
  <c r="P47" i="37" s="1"/>
  <c r="O43" i="37"/>
  <c r="O47" i="37" s="1"/>
  <c r="N43" i="37"/>
  <c r="N47" i="37" s="1"/>
  <c r="M43" i="37"/>
  <c r="M47" i="37" s="1"/>
  <c r="L43" i="37"/>
  <c r="L47" i="37" s="1"/>
  <c r="K43" i="37"/>
  <c r="K47" i="37" s="1"/>
  <c r="J43" i="37"/>
  <c r="J47" i="37" s="1"/>
  <c r="I43" i="37"/>
  <c r="H43" i="37"/>
  <c r="G43" i="37"/>
  <c r="U46" i="37"/>
  <c r="R28" i="37"/>
  <c r="R46" i="37" s="1"/>
  <c r="Q28" i="37"/>
  <c r="Q46" i="37" s="1"/>
  <c r="P28" i="37"/>
  <c r="P46" i="37" s="1"/>
  <c r="O28" i="37"/>
  <c r="O46" i="37" s="1"/>
  <c r="N28" i="37"/>
  <c r="R9" i="32" s="1"/>
  <c r="M28" i="37"/>
  <c r="Q9" i="32" s="1"/>
  <c r="L28" i="37"/>
  <c r="L46" i="37" s="1"/>
  <c r="K28" i="37"/>
  <c r="K46" i="37" s="1"/>
  <c r="J28" i="37"/>
  <c r="J46" i="37" s="1"/>
  <c r="I28" i="37"/>
  <c r="H28" i="37"/>
  <c r="L9" i="32" s="1"/>
  <c r="G28" i="37"/>
  <c r="S28" i="33" s="1"/>
  <c r="S46" i="33" s="1"/>
  <c r="R11" i="37"/>
  <c r="Q11" i="37"/>
  <c r="Q21" i="37" s="1"/>
  <c r="AM49" i="2" s="1"/>
  <c r="P11" i="37"/>
  <c r="P21" i="37" s="1"/>
  <c r="AL49" i="2" s="1"/>
  <c r="O11" i="37"/>
  <c r="O21" i="37" s="1"/>
  <c r="AK49" i="2" s="1"/>
  <c r="N11" i="37"/>
  <c r="M11" i="37"/>
  <c r="L11" i="37"/>
  <c r="L21" i="37" s="1"/>
  <c r="AH49" i="2" s="1"/>
  <c r="K11" i="37"/>
  <c r="K21" i="37" s="1"/>
  <c r="AG49" i="2" s="1"/>
  <c r="J11" i="37"/>
  <c r="J21" i="37" s="1"/>
  <c r="AF49" i="2" s="1"/>
  <c r="I11" i="37"/>
  <c r="I21" i="37" s="1"/>
  <c r="AE49" i="2" s="1"/>
  <c r="H11" i="37"/>
  <c r="H21" i="37" s="1"/>
  <c r="AD49" i="2" s="1"/>
  <c r="G11" i="37"/>
  <c r="G21" i="37" s="1"/>
  <c r="AC49" i="2" s="1"/>
  <c r="F31" i="25"/>
  <c r="U49" i="33"/>
  <c r="T49" i="33"/>
  <c r="S49" i="33"/>
  <c r="I11" i="24"/>
  <c r="I48" i="24" s="1"/>
  <c r="J11" i="24"/>
  <c r="J48" i="24" s="1"/>
  <c r="K11" i="24"/>
  <c r="K21" i="24" s="1"/>
  <c r="I49" i="2" s="1"/>
  <c r="L11" i="24"/>
  <c r="L21" i="24" s="1"/>
  <c r="J49" i="2" s="1"/>
  <c r="M11" i="24"/>
  <c r="M48" i="24" s="1"/>
  <c r="H49" i="24"/>
  <c r="I49" i="24"/>
  <c r="J49" i="24"/>
  <c r="K49" i="24"/>
  <c r="L49" i="24"/>
  <c r="M49" i="24"/>
  <c r="N49" i="24"/>
  <c r="O49" i="24"/>
  <c r="P49" i="24"/>
  <c r="Q49" i="24"/>
  <c r="R49" i="24"/>
  <c r="G49" i="24"/>
  <c r="Q46" i="24"/>
  <c r="K46" i="24"/>
  <c r="J46" i="24"/>
  <c r="I46" i="24"/>
  <c r="H28" i="24"/>
  <c r="H46" i="24" s="1"/>
  <c r="I28" i="24"/>
  <c r="J28" i="24"/>
  <c r="K28" i="24"/>
  <c r="L28" i="24"/>
  <c r="L46" i="24" s="1"/>
  <c r="M28" i="24"/>
  <c r="M46" i="24" s="1"/>
  <c r="N28" i="24"/>
  <c r="N46" i="24" s="1"/>
  <c r="O28" i="24"/>
  <c r="O46" i="24" s="1"/>
  <c r="P28" i="24"/>
  <c r="P46" i="24" s="1"/>
  <c r="Q28" i="24"/>
  <c r="R28" i="24"/>
  <c r="R46" i="24" s="1"/>
  <c r="G28" i="24"/>
  <c r="G46" i="24" s="1"/>
  <c r="K16" i="30" s="1"/>
  <c r="S61" i="32"/>
  <c r="T61" i="32"/>
  <c r="U61" i="32"/>
  <c r="V61" i="32"/>
  <c r="L59" i="32"/>
  <c r="M59" i="32"/>
  <c r="N59" i="32"/>
  <c r="O59" i="32"/>
  <c r="P59" i="32"/>
  <c r="Q59" i="32"/>
  <c r="R59" i="32"/>
  <c r="S59" i="32"/>
  <c r="T59" i="32"/>
  <c r="U59" i="32"/>
  <c r="V59" i="32"/>
  <c r="K59" i="32"/>
  <c r="L53" i="32"/>
  <c r="M53" i="32"/>
  <c r="N53" i="32"/>
  <c r="O53" i="32"/>
  <c r="P53" i="32"/>
  <c r="Q53" i="32"/>
  <c r="R53" i="32"/>
  <c r="S53" i="32"/>
  <c r="T53" i="32"/>
  <c r="U53" i="32"/>
  <c r="V53" i="32"/>
  <c r="K53" i="32"/>
  <c r="P51" i="32"/>
  <c r="T51" i="32"/>
  <c r="L47" i="32"/>
  <c r="N47" i="32"/>
  <c r="O47" i="32"/>
  <c r="R47" i="32"/>
  <c r="T47" i="32"/>
  <c r="V47" i="32"/>
  <c r="L59" i="31"/>
  <c r="M59" i="31"/>
  <c r="N59" i="31"/>
  <c r="O59" i="31"/>
  <c r="P59" i="31"/>
  <c r="Q59" i="31"/>
  <c r="R59" i="31"/>
  <c r="S59" i="31"/>
  <c r="T59" i="31"/>
  <c r="U59" i="31"/>
  <c r="V59" i="31"/>
  <c r="K59" i="31"/>
  <c r="L53" i="31"/>
  <c r="M53" i="31"/>
  <c r="N53" i="31"/>
  <c r="O53" i="31"/>
  <c r="P53" i="31"/>
  <c r="Q53" i="31"/>
  <c r="R53" i="31"/>
  <c r="S53" i="31"/>
  <c r="T53" i="31"/>
  <c r="U53" i="31"/>
  <c r="V53" i="31"/>
  <c r="K53" i="31"/>
  <c r="N51" i="31"/>
  <c r="R51" i="31"/>
  <c r="V51" i="31"/>
  <c r="V47" i="31"/>
  <c r="T47" i="31"/>
  <c r="S47" i="31"/>
  <c r="R47" i="31"/>
  <c r="Q47" i="31"/>
  <c r="O47" i="31"/>
  <c r="N47" i="31"/>
  <c r="K60" i="30"/>
  <c r="L58" i="30"/>
  <c r="M58" i="30"/>
  <c r="N58" i="30"/>
  <c r="O58" i="30"/>
  <c r="P58" i="30"/>
  <c r="Q58" i="30"/>
  <c r="R58" i="30"/>
  <c r="S58" i="30"/>
  <c r="T58" i="30"/>
  <c r="U58" i="30"/>
  <c r="V58" i="30"/>
  <c r="K58" i="30"/>
  <c r="L52" i="30"/>
  <c r="M52" i="30"/>
  <c r="N52" i="30"/>
  <c r="O52" i="30"/>
  <c r="P52" i="30"/>
  <c r="Q52" i="30"/>
  <c r="R52" i="30"/>
  <c r="S52" i="30"/>
  <c r="T52" i="30"/>
  <c r="U52" i="30"/>
  <c r="V52" i="30"/>
  <c r="K52" i="30"/>
  <c r="N46" i="30"/>
  <c r="P46" i="30"/>
  <c r="Q56" i="29"/>
  <c r="V55" i="45" s="1"/>
  <c r="P56" i="29"/>
  <c r="U55" i="45" s="1"/>
  <c r="O56" i="29"/>
  <c r="T55" i="45" s="1"/>
  <c r="N56" i="29"/>
  <c r="S55" i="45" s="1"/>
  <c r="M56" i="29"/>
  <c r="R55" i="45" s="1"/>
  <c r="L56" i="29"/>
  <c r="Q55" i="45" s="1"/>
  <c r="K56" i="29"/>
  <c r="P55" i="45" s="1"/>
  <c r="J56" i="29"/>
  <c r="O55" i="45" s="1"/>
  <c r="I56" i="29"/>
  <c r="N55" i="45" s="1"/>
  <c r="H56" i="29"/>
  <c r="M55" i="45" s="1"/>
  <c r="G56" i="29"/>
  <c r="L55" i="45" s="1"/>
  <c r="F56" i="29"/>
  <c r="K55" i="45" s="1"/>
  <c r="T56" i="28"/>
  <c r="S56" i="28"/>
  <c r="R56" i="28"/>
  <c r="Q56" i="28"/>
  <c r="V55" i="44" s="1"/>
  <c r="P56" i="28"/>
  <c r="U55" i="44" s="1"/>
  <c r="O56" i="28"/>
  <c r="T55" i="44" s="1"/>
  <c r="N56" i="28"/>
  <c r="S55" i="44" s="1"/>
  <c r="M56" i="28"/>
  <c r="R55" i="44" s="1"/>
  <c r="L56" i="28"/>
  <c r="Q55" i="44" s="1"/>
  <c r="K56" i="28"/>
  <c r="P55" i="44" s="1"/>
  <c r="J56" i="28"/>
  <c r="O55" i="44" s="1"/>
  <c r="I56" i="28"/>
  <c r="N55" i="44" s="1"/>
  <c r="T58" i="27"/>
  <c r="S58" i="27"/>
  <c r="R58" i="27"/>
  <c r="Q58" i="27"/>
  <c r="V55" i="32" s="1"/>
  <c r="P58" i="27"/>
  <c r="U55" i="32" s="1"/>
  <c r="O58" i="27"/>
  <c r="T55" i="32" s="1"/>
  <c r="N58" i="27"/>
  <c r="S55" i="32" s="1"/>
  <c r="M58" i="27"/>
  <c r="R55" i="32" s="1"/>
  <c r="L58" i="27"/>
  <c r="Q55" i="32" s="1"/>
  <c r="K58" i="27"/>
  <c r="P55" i="32" s="1"/>
  <c r="J58" i="27"/>
  <c r="O55" i="32" s="1"/>
  <c r="I58" i="27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H58" i="23"/>
  <c r="I58" i="23"/>
  <c r="N54" i="30" s="1"/>
  <c r="J58" i="23"/>
  <c r="O54" i="30" s="1"/>
  <c r="K58" i="23"/>
  <c r="P54" i="30" s="1"/>
  <c r="L58" i="23"/>
  <c r="M58" i="23"/>
  <c r="R54" i="30" s="1"/>
  <c r="N58" i="23"/>
  <c r="O58" i="23"/>
  <c r="P58" i="23"/>
  <c r="Q58" i="23"/>
  <c r="V54" i="30" s="1"/>
  <c r="R58" i="23"/>
  <c r="S58" i="23"/>
  <c r="T58" i="23"/>
  <c r="G58" i="23"/>
  <c r="L54" i="30" s="1"/>
  <c r="F58" i="23"/>
  <c r="K54" i="30" s="1"/>
  <c r="Q17" i="29"/>
  <c r="BL42" i="2" s="1"/>
  <c r="P17" i="29"/>
  <c r="BK42" i="2" s="1"/>
  <c r="O17" i="29"/>
  <c r="BJ42" i="2" s="1"/>
  <c r="N17" i="29"/>
  <c r="BI42" i="2" s="1"/>
  <c r="M17" i="29"/>
  <c r="BH42" i="2" s="1"/>
  <c r="L17" i="29"/>
  <c r="BG42" i="2" s="1"/>
  <c r="K17" i="29"/>
  <c r="BF42" i="2" s="1"/>
  <c r="J17" i="29"/>
  <c r="BE42" i="2" s="1"/>
  <c r="I17" i="29"/>
  <c r="BD42" i="2" s="1"/>
  <c r="H17" i="29"/>
  <c r="BC42" i="2" s="1"/>
  <c r="G17" i="29"/>
  <c r="BB42" i="2" s="1"/>
  <c r="F17" i="29"/>
  <c r="I55" i="1"/>
  <c r="T17" i="28"/>
  <c r="T26" i="28" s="1"/>
  <c r="R17" i="28"/>
  <c r="Q17" i="28"/>
  <c r="AZ42" i="2" s="1"/>
  <c r="P17" i="28"/>
  <c r="AY42" i="2" s="1"/>
  <c r="O17" i="28"/>
  <c r="AX42" i="2" s="1"/>
  <c r="N17" i="28"/>
  <c r="AW42" i="2" s="1"/>
  <c r="M17" i="28"/>
  <c r="AV42" i="2" s="1"/>
  <c r="L17" i="28"/>
  <c r="AU42" i="2" s="1"/>
  <c r="K17" i="28"/>
  <c r="AT42" i="2" s="1"/>
  <c r="J17" i="28"/>
  <c r="AS42" i="2" s="1"/>
  <c r="I17" i="28"/>
  <c r="AR42" i="2" s="1"/>
  <c r="T17" i="27"/>
  <c r="S17" i="27"/>
  <c r="R17" i="27"/>
  <c r="R26" i="27" s="1"/>
  <c r="Q17" i="27"/>
  <c r="AN42" i="2" s="1"/>
  <c r="P17" i="27"/>
  <c r="AM42" i="2" s="1"/>
  <c r="O17" i="27"/>
  <c r="AL42" i="2" s="1"/>
  <c r="N17" i="27"/>
  <c r="M17" i="27"/>
  <c r="AJ42" i="2" s="1"/>
  <c r="L17" i="27"/>
  <c r="K17" i="27"/>
  <c r="AH42" i="2" s="1"/>
  <c r="J17" i="27"/>
  <c r="I17" i="27"/>
  <c r="AF42" i="2" s="1"/>
  <c r="T17" i="26"/>
  <c r="S17" i="26"/>
  <c r="R17" i="26"/>
  <c r="Q17" i="26"/>
  <c r="AB42" i="2" s="1"/>
  <c r="P17" i="26"/>
  <c r="AA42" i="2" s="1"/>
  <c r="O17" i="26"/>
  <c r="Z42" i="2" s="1"/>
  <c r="N17" i="26"/>
  <c r="Y42" i="2" s="1"/>
  <c r="M17" i="26"/>
  <c r="X42" i="2" s="1"/>
  <c r="L17" i="26"/>
  <c r="W42" i="2" s="1"/>
  <c r="K17" i="26"/>
  <c r="V42" i="2" s="1"/>
  <c r="J17" i="26"/>
  <c r="U42" i="2" s="1"/>
  <c r="I17" i="26"/>
  <c r="T42" i="2" s="1"/>
  <c r="H43" i="24"/>
  <c r="H47" i="24" s="1"/>
  <c r="I43" i="24"/>
  <c r="I47" i="24" s="1"/>
  <c r="J43" i="24"/>
  <c r="J47" i="24" s="1"/>
  <c r="K43" i="24"/>
  <c r="K47" i="24" s="1"/>
  <c r="L43" i="24"/>
  <c r="L47" i="24" s="1"/>
  <c r="M43" i="24"/>
  <c r="M47" i="24" s="1"/>
  <c r="N43" i="24"/>
  <c r="N47" i="24" s="1"/>
  <c r="O43" i="24"/>
  <c r="O47" i="24" s="1"/>
  <c r="P43" i="24"/>
  <c r="P47" i="24" s="1"/>
  <c r="Q43" i="24"/>
  <c r="Q47" i="24" s="1"/>
  <c r="R43" i="24"/>
  <c r="R47" i="24" s="1"/>
  <c r="G43" i="24"/>
  <c r="J17" i="23"/>
  <c r="I42" i="2" s="1"/>
  <c r="K17" i="23"/>
  <c r="J42" i="2" s="1"/>
  <c r="L17" i="23"/>
  <c r="K42" i="2" s="1"/>
  <c r="I17" i="23"/>
  <c r="H42" i="2" s="1"/>
  <c r="H17" i="23"/>
  <c r="B4" i="21"/>
  <c r="N26" i="21"/>
  <c r="B26" i="21"/>
  <c r="N15" i="21"/>
  <c r="B15" i="21"/>
  <c r="N4" i="21"/>
  <c r="O20" i="20"/>
  <c r="N20" i="20"/>
  <c r="M20" i="20"/>
  <c r="L20" i="20"/>
  <c r="K20" i="20"/>
  <c r="J20" i="20"/>
  <c r="I20" i="20"/>
  <c r="H20" i="20"/>
  <c r="G20" i="20"/>
  <c r="F20" i="20"/>
  <c r="E20" i="20"/>
  <c r="D20" i="20"/>
  <c r="P19" i="20"/>
  <c r="P18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P16" i="20"/>
  <c r="P15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P13" i="20"/>
  <c r="P12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P10" i="20"/>
  <c r="P9" i="20"/>
  <c r="O8" i="20"/>
  <c r="N8" i="20"/>
  <c r="M8" i="20"/>
  <c r="L8" i="20"/>
  <c r="K8" i="20"/>
  <c r="J8" i="20"/>
  <c r="I8" i="20"/>
  <c r="H8" i="20"/>
  <c r="G8" i="20"/>
  <c r="F8" i="20"/>
  <c r="E8" i="20"/>
  <c r="D8" i="20"/>
  <c r="P7" i="20"/>
  <c r="P6" i="20"/>
  <c r="O5" i="20"/>
  <c r="N5" i="20"/>
  <c r="M5" i="20"/>
  <c r="L5" i="20"/>
  <c r="K5" i="20"/>
  <c r="J5" i="20"/>
  <c r="I5" i="20"/>
  <c r="H5" i="20"/>
  <c r="G5" i="20"/>
  <c r="F5" i="20"/>
  <c r="E5" i="20"/>
  <c r="D5" i="20"/>
  <c r="P4" i="20"/>
  <c r="P3" i="20"/>
  <c r="K18" i="17"/>
  <c r="K17" i="17"/>
  <c r="K19" i="17"/>
  <c r="I21" i="17"/>
  <c r="J21" i="17"/>
  <c r="K21" i="17" s="1"/>
  <c r="D21" i="17"/>
  <c r="E21" i="17"/>
  <c r="K20" i="17"/>
  <c r="K16" i="17"/>
  <c r="K15" i="17"/>
  <c r="K14" i="17"/>
  <c r="K13" i="17"/>
  <c r="K12" i="17"/>
  <c r="K11" i="17"/>
  <c r="K10" i="17"/>
  <c r="K9" i="17"/>
  <c r="K8" i="17"/>
  <c r="K7" i="17"/>
  <c r="K6" i="17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E7" i="16"/>
  <c r="O6" i="15"/>
  <c r="O7" i="15"/>
  <c r="O8" i="15"/>
  <c r="O9" i="15"/>
  <c r="O10" i="15"/>
  <c r="O11" i="15"/>
  <c r="O5" i="15"/>
  <c r="J44" i="15"/>
  <c r="I44" i="15"/>
  <c r="G44" i="15"/>
  <c r="E44" i="15"/>
  <c r="D44" i="15"/>
  <c r="L43" i="15"/>
  <c r="K43" i="15"/>
  <c r="H43" i="15"/>
  <c r="M43" i="15"/>
  <c r="F43" i="15"/>
  <c r="L42" i="15"/>
  <c r="K42" i="15"/>
  <c r="H42" i="15"/>
  <c r="M42" i="15"/>
  <c r="F42" i="15"/>
  <c r="L41" i="15"/>
  <c r="K41" i="15"/>
  <c r="H41" i="15"/>
  <c r="M41" i="15"/>
  <c r="F41" i="15"/>
  <c r="L40" i="15"/>
  <c r="K40" i="15"/>
  <c r="H40" i="15"/>
  <c r="M40" i="15"/>
  <c r="F40" i="15"/>
  <c r="L39" i="15"/>
  <c r="K39" i="15"/>
  <c r="H39" i="15"/>
  <c r="M39" i="15"/>
  <c r="F39" i="15"/>
  <c r="L38" i="15"/>
  <c r="K38" i="15"/>
  <c r="H38" i="15"/>
  <c r="M38" i="15"/>
  <c r="F38" i="15"/>
  <c r="L37" i="15"/>
  <c r="K37" i="15"/>
  <c r="H37" i="15"/>
  <c r="M37" i="15"/>
  <c r="F37" i="15"/>
  <c r="L36" i="15"/>
  <c r="K36" i="15"/>
  <c r="H36" i="15"/>
  <c r="M36" i="15"/>
  <c r="F36" i="15"/>
  <c r="L35" i="15"/>
  <c r="K35" i="15"/>
  <c r="H35" i="15"/>
  <c r="M35" i="15"/>
  <c r="F35" i="15"/>
  <c r="L34" i="15"/>
  <c r="K34" i="15"/>
  <c r="H34" i="15"/>
  <c r="F34" i="15"/>
  <c r="Q33" i="11"/>
  <c r="P33" i="11"/>
  <c r="O33" i="11"/>
  <c r="N33" i="11"/>
  <c r="M33" i="11"/>
  <c r="L33" i="11"/>
  <c r="K33" i="11"/>
  <c r="J33" i="11"/>
  <c r="I33" i="11"/>
  <c r="H33" i="11"/>
  <c r="Q32" i="11"/>
  <c r="P32" i="11"/>
  <c r="O32" i="11"/>
  <c r="N32" i="11"/>
  <c r="M32" i="11"/>
  <c r="L32" i="11"/>
  <c r="K32" i="11"/>
  <c r="J32" i="11"/>
  <c r="I32" i="11"/>
  <c r="H32" i="11"/>
  <c r="Q31" i="11"/>
  <c r="P31" i="11"/>
  <c r="O31" i="11"/>
  <c r="N31" i="11"/>
  <c r="M31" i="11"/>
  <c r="L31" i="11"/>
  <c r="K31" i="11"/>
  <c r="J31" i="11"/>
  <c r="I31" i="11"/>
  <c r="H31" i="11"/>
  <c r="Q30" i="11"/>
  <c r="P30" i="11"/>
  <c r="O30" i="11"/>
  <c r="N30" i="11"/>
  <c r="M30" i="11"/>
  <c r="L30" i="11"/>
  <c r="K30" i="11"/>
  <c r="J30" i="11"/>
  <c r="H30" i="11"/>
  <c r="I30" i="11"/>
  <c r="F37" i="2"/>
  <c r="F23" i="10" s="1"/>
  <c r="G37" i="2"/>
  <c r="G23" i="10" s="1"/>
  <c r="H37" i="2"/>
  <c r="H23" i="10" s="1"/>
  <c r="I37" i="2"/>
  <c r="I23" i="10" s="1"/>
  <c r="J37" i="2"/>
  <c r="J23" i="10" s="1"/>
  <c r="K37" i="2"/>
  <c r="K23" i="10" s="1"/>
  <c r="L37" i="2"/>
  <c r="L23" i="10" s="1"/>
  <c r="M37" i="2"/>
  <c r="M23" i="10" s="1"/>
  <c r="N37" i="2"/>
  <c r="N23" i="10" s="1"/>
  <c r="O37" i="2"/>
  <c r="O23" i="10" s="1"/>
  <c r="P37" i="2"/>
  <c r="P23" i="10" s="1"/>
  <c r="E37" i="2"/>
  <c r="E23" i="10" s="1"/>
  <c r="F36" i="2"/>
  <c r="F22" i="10" s="1"/>
  <c r="G36" i="2"/>
  <c r="G22" i="10" s="1"/>
  <c r="H36" i="2"/>
  <c r="H22" i="10" s="1"/>
  <c r="I36" i="2"/>
  <c r="I22" i="10" s="1"/>
  <c r="J36" i="2"/>
  <c r="J22" i="10" s="1"/>
  <c r="K36" i="2"/>
  <c r="K22" i="10" s="1"/>
  <c r="L36" i="2"/>
  <c r="L22" i="10" s="1"/>
  <c r="M36" i="2"/>
  <c r="M22" i="10" s="1"/>
  <c r="N36" i="2"/>
  <c r="N22" i="10" s="1"/>
  <c r="O36" i="2"/>
  <c r="O22" i="10" s="1"/>
  <c r="P36" i="2"/>
  <c r="P22" i="10" s="1"/>
  <c r="E36" i="2"/>
  <c r="E22" i="10" s="1"/>
  <c r="E21" i="2"/>
  <c r="F12" i="10" s="1"/>
  <c r="F21" i="2"/>
  <c r="G12" i="10" s="1"/>
  <c r="G21" i="2"/>
  <c r="H12" i="10" s="1"/>
  <c r="H21" i="2"/>
  <c r="I12" i="10" s="1"/>
  <c r="I21" i="2"/>
  <c r="J12" i="10" s="1"/>
  <c r="J21" i="2"/>
  <c r="K12" i="10" s="1"/>
  <c r="K21" i="2"/>
  <c r="L12" i="10" s="1"/>
  <c r="L21" i="2"/>
  <c r="M12" i="10" s="1"/>
  <c r="M21" i="2"/>
  <c r="N12" i="10" s="1"/>
  <c r="N21" i="2"/>
  <c r="O12" i="10" s="1"/>
  <c r="O21" i="2"/>
  <c r="P12" i="10" s="1"/>
  <c r="D21" i="2"/>
  <c r="E12" i="10" s="1"/>
  <c r="E20" i="2"/>
  <c r="F11" i="10" s="1"/>
  <c r="F20" i="2"/>
  <c r="G11" i="10" s="1"/>
  <c r="G20" i="2"/>
  <c r="H11" i="10" s="1"/>
  <c r="H20" i="2"/>
  <c r="I11" i="10" s="1"/>
  <c r="I20" i="2"/>
  <c r="J11" i="10" s="1"/>
  <c r="J20" i="2"/>
  <c r="K11" i="10" s="1"/>
  <c r="K20" i="2"/>
  <c r="L11" i="10" s="1"/>
  <c r="L20" i="2"/>
  <c r="M11" i="10" s="1"/>
  <c r="M20" i="2"/>
  <c r="N11" i="10" s="1"/>
  <c r="N20" i="2"/>
  <c r="O11" i="10" s="1"/>
  <c r="O20" i="2"/>
  <c r="P11" i="10" s="1"/>
  <c r="D20" i="2"/>
  <c r="E11" i="10" s="1"/>
  <c r="E19" i="2"/>
  <c r="F10" i="10" s="1"/>
  <c r="F19" i="2"/>
  <c r="G10" i="10" s="1"/>
  <c r="G19" i="2"/>
  <c r="H10" i="10" s="1"/>
  <c r="H19" i="2"/>
  <c r="I10" i="10" s="1"/>
  <c r="I19" i="2"/>
  <c r="J10" i="10" s="1"/>
  <c r="J19" i="2"/>
  <c r="K10" i="10" s="1"/>
  <c r="K19" i="2"/>
  <c r="L10" i="10" s="1"/>
  <c r="L19" i="2"/>
  <c r="M10" i="10" s="1"/>
  <c r="M19" i="2"/>
  <c r="N10" i="10" s="1"/>
  <c r="N19" i="2"/>
  <c r="O10" i="10" s="1"/>
  <c r="O19" i="2"/>
  <c r="P10" i="10" s="1"/>
  <c r="D19" i="2"/>
  <c r="E10" i="10" s="1"/>
  <c r="K44" i="15"/>
  <c r="H44" i="15"/>
  <c r="F44" i="15"/>
  <c r="L44" i="15"/>
  <c r="M34" i="15"/>
  <c r="M44" i="15"/>
  <c r="I46" i="37" l="1"/>
  <c r="U28" i="33"/>
  <c r="U46" i="33" s="1"/>
  <c r="T9" i="32"/>
  <c r="H46" i="37"/>
  <c r="T28" i="33"/>
  <c r="T46" i="33" s="1"/>
  <c r="H9" i="45"/>
  <c r="H9" i="32"/>
  <c r="H9" i="30"/>
  <c r="H9" i="44"/>
  <c r="H9" i="31"/>
  <c r="R46" i="38"/>
  <c r="T9" i="44"/>
  <c r="S9" i="44"/>
  <c r="R9" i="44"/>
  <c r="Q9" i="44"/>
  <c r="G46" i="38"/>
  <c r="S28" i="37"/>
  <c r="S46" i="37" s="1"/>
  <c r="I46" i="38"/>
  <c r="P9" i="44"/>
  <c r="H46" i="38"/>
  <c r="T28" i="37"/>
  <c r="T46" i="37" s="1"/>
  <c r="J46" i="38"/>
  <c r="L9" i="44"/>
  <c r="O9" i="44"/>
  <c r="U9" i="45"/>
  <c r="L9" i="45"/>
  <c r="I9" i="30"/>
  <c r="I9" i="31"/>
  <c r="I9" i="44"/>
  <c r="I9" i="32"/>
  <c r="I9" i="45"/>
  <c r="G46" i="39"/>
  <c r="S28" i="38"/>
  <c r="S46" i="38" s="1"/>
  <c r="H46" i="39"/>
  <c r="R9" i="45"/>
  <c r="I12" i="45"/>
  <c r="I12" i="44"/>
  <c r="I12" i="32"/>
  <c r="I12" i="31"/>
  <c r="I12" i="30"/>
  <c r="K46" i="39"/>
  <c r="I7" i="45"/>
  <c r="I7" i="44"/>
  <c r="I7" i="32"/>
  <c r="I7" i="31"/>
  <c r="I7" i="30"/>
  <c r="I46" i="39"/>
  <c r="U28" i="38"/>
  <c r="U46" i="38" s="1"/>
  <c r="I15" i="45"/>
  <c r="I15" i="30"/>
  <c r="I15" i="31"/>
  <c r="I15" i="44"/>
  <c r="I15" i="32"/>
  <c r="F15" i="31"/>
  <c r="F15" i="45"/>
  <c r="F15" i="32"/>
  <c r="F15" i="30"/>
  <c r="F15" i="44"/>
  <c r="F7" i="45"/>
  <c r="F7" i="44"/>
  <c r="F7" i="32"/>
  <c r="F7" i="31"/>
  <c r="F7" i="30"/>
  <c r="F12" i="30"/>
  <c r="F12" i="44"/>
  <c r="F12" i="45"/>
  <c r="F12" i="32"/>
  <c r="F12" i="31"/>
  <c r="L90" i="30"/>
  <c r="G62" i="23"/>
  <c r="E12" i="30"/>
  <c r="E12" i="45"/>
  <c r="E12" i="44"/>
  <c r="E12" i="32"/>
  <c r="E12" i="31"/>
  <c r="E15" i="31"/>
  <c r="E15" i="45"/>
  <c r="E15" i="44"/>
  <c r="E15" i="32"/>
  <c r="E15" i="30"/>
  <c r="E7" i="45"/>
  <c r="E7" i="44"/>
  <c r="E7" i="32"/>
  <c r="E7" i="31"/>
  <c r="E7" i="30"/>
  <c r="Q51" i="32"/>
  <c r="AI44" i="2"/>
  <c r="O51" i="32"/>
  <c r="AG44" i="2"/>
  <c r="R51" i="32"/>
  <c r="AJ44" i="2"/>
  <c r="V51" i="32"/>
  <c r="AN44" i="2"/>
  <c r="N51" i="32"/>
  <c r="AF44" i="2"/>
  <c r="U51" i="32"/>
  <c r="AM44" i="2"/>
  <c r="M51" i="32"/>
  <c r="AE44" i="2"/>
  <c r="S51" i="32"/>
  <c r="AK44" i="2"/>
  <c r="U47" i="32"/>
  <c r="AM43" i="2"/>
  <c r="G47" i="45"/>
  <c r="G47" i="31"/>
  <c r="G47" i="32"/>
  <c r="G46" i="30"/>
  <c r="G47" i="44"/>
  <c r="S47" i="32"/>
  <c r="AK43" i="2"/>
  <c r="Q47" i="32"/>
  <c r="AI43" i="2"/>
  <c r="P47" i="32"/>
  <c r="AH43" i="2"/>
  <c r="T26" i="27"/>
  <c r="K47" i="32"/>
  <c r="AC43" i="2"/>
  <c r="F53" i="32"/>
  <c r="F53" i="45"/>
  <c r="F53" i="31"/>
  <c r="F53" i="44"/>
  <c r="F52" i="30"/>
  <c r="G48" i="50"/>
  <c r="H48" i="49"/>
  <c r="G48" i="51"/>
  <c r="G48" i="52"/>
  <c r="Q51" i="31"/>
  <c r="W44" i="2"/>
  <c r="F51" i="44"/>
  <c r="F51" i="31"/>
  <c r="F51" i="45"/>
  <c r="F51" i="32"/>
  <c r="F50" i="30"/>
  <c r="P51" i="31"/>
  <c r="V44" i="2"/>
  <c r="U51" i="31"/>
  <c r="AA44" i="2"/>
  <c r="M51" i="31"/>
  <c r="S44" i="2"/>
  <c r="T51" i="31"/>
  <c r="Z44" i="2"/>
  <c r="L51" i="31"/>
  <c r="R44" i="2"/>
  <c r="S51" i="31"/>
  <c r="Y44" i="2"/>
  <c r="U47" i="31"/>
  <c r="F47" i="31"/>
  <c r="F47" i="45"/>
  <c r="F47" i="32"/>
  <c r="F46" i="30"/>
  <c r="F47" i="44"/>
  <c r="P47" i="31"/>
  <c r="K47" i="31"/>
  <c r="E53" i="32"/>
  <c r="E53" i="45"/>
  <c r="E53" i="31"/>
  <c r="E53" i="44"/>
  <c r="E52" i="30"/>
  <c r="F48" i="1"/>
  <c r="F48" i="50"/>
  <c r="F48" i="52"/>
  <c r="G48" i="49"/>
  <c r="F48" i="51"/>
  <c r="Q46" i="30"/>
  <c r="V46" i="30"/>
  <c r="P43" i="2"/>
  <c r="U46" i="30"/>
  <c r="O43" i="2"/>
  <c r="M46" i="30"/>
  <c r="G43" i="2"/>
  <c r="O46" i="30"/>
  <c r="T46" i="30"/>
  <c r="N43" i="2"/>
  <c r="L46" i="30"/>
  <c r="F43" i="2"/>
  <c r="S46" i="30"/>
  <c r="M43" i="2"/>
  <c r="R46" i="30"/>
  <c r="L43" i="2"/>
  <c r="K46" i="30"/>
  <c r="E43" i="2"/>
  <c r="R50" i="30"/>
  <c r="L44" i="2"/>
  <c r="N50" i="30"/>
  <c r="H44" i="2"/>
  <c r="L50" i="30"/>
  <c r="F44" i="2"/>
  <c r="T50" i="30"/>
  <c r="N44" i="2"/>
  <c r="K50" i="30"/>
  <c r="E44" i="2"/>
  <c r="F26" i="29"/>
  <c r="K49" i="45" s="1"/>
  <c r="BA42" i="2"/>
  <c r="L45" i="44"/>
  <c r="L48" i="44" s="1"/>
  <c r="AP42" i="2"/>
  <c r="K45" i="44"/>
  <c r="AO42" i="2"/>
  <c r="M48" i="37"/>
  <c r="M21" i="37"/>
  <c r="AI49" i="2" s="1"/>
  <c r="M45" i="32"/>
  <c r="M54" i="32" s="1"/>
  <c r="AE42" i="2"/>
  <c r="N26" i="27"/>
  <c r="S49" i="32" s="1"/>
  <c r="AK42" i="2"/>
  <c r="N48" i="37"/>
  <c r="N21" i="37"/>
  <c r="AJ49" i="2" s="1"/>
  <c r="L26" i="27"/>
  <c r="Q49" i="32" s="1"/>
  <c r="AI42" i="2"/>
  <c r="J26" i="27"/>
  <c r="AG42" i="2"/>
  <c r="R48" i="37"/>
  <c r="R50" i="37" s="1"/>
  <c r="R21" i="37"/>
  <c r="AN49" i="2" s="1"/>
  <c r="L45" i="32"/>
  <c r="AD42" i="2"/>
  <c r="F27" i="26"/>
  <c r="K49" i="31" s="1"/>
  <c r="Q42" i="2"/>
  <c r="H27" i="26"/>
  <c r="M49" i="31" s="1"/>
  <c r="S42" i="2"/>
  <c r="G11" i="33"/>
  <c r="H26" i="23"/>
  <c r="M48" i="30" s="1"/>
  <c r="G42" i="2"/>
  <c r="I47" i="39"/>
  <c r="U43" i="38"/>
  <c r="U47" i="38" s="1"/>
  <c r="H47" i="39"/>
  <c r="T43" i="38"/>
  <c r="T47" i="38" s="1"/>
  <c r="G47" i="39"/>
  <c r="S43" i="38"/>
  <c r="S47" i="38" s="1"/>
  <c r="I61" i="44"/>
  <c r="I61" i="45"/>
  <c r="I60" i="30"/>
  <c r="I61" i="31"/>
  <c r="I61" i="32"/>
  <c r="J57" i="52"/>
  <c r="J57" i="51"/>
  <c r="J57" i="50"/>
  <c r="K57" i="49"/>
  <c r="H60" i="30"/>
  <c r="H61" i="31"/>
  <c r="H61" i="32"/>
  <c r="H61" i="44"/>
  <c r="H61" i="45"/>
  <c r="I57" i="51"/>
  <c r="J57" i="49"/>
  <c r="I57" i="50"/>
  <c r="I57" i="52"/>
  <c r="I47" i="38"/>
  <c r="U43" i="37"/>
  <c r="U47" i="37" s="1"/>
  <c r="H12" i="30"/>
  <c r="H12" i="31"/>
  <c r="H12" i="45"/>
  <c r="H12" i="44"/>
  <c r="H12" i="32"/>
  <c r="H7" i="30"/>
  <c r="H7" i="32"/>
  <c r="H7" i="45"/>
  <c r="H7" i="44"/>
  <c r="H7" i="31"/>
  <c r="H15" i="32"/>
  <c r="H15" i="31"/>
  <c r="H15" i="30"/>
  <c r="H15" i="44"/>
  <c r="H15" i="45"/>
  <c r="G12" i="45"/>
  <c r="G12" i="44"/>
  <c r="G12" i="32"/>
  <c r="G12" i="31"/>
  <c r="G12" i="30"/>
  <c r="G7" i="45"/>
  <c r="G7" i="44"/>
  <c r="G7" i="32"/>
  <c r="G7" i="31"/>
  <c r="G7" i="30"/>
  <c r="G15" i="45"/>
  <c r="G15" i="44"/>
  <c r="G15" i="30"/>
  <c r="G15" i="31"/>
  <c r="G15" i="32"/>
  <c r="G60" i="30"/>
  <c r="G61" i="45"/>
  <c r="G61" i="31"/>
  <c r="G61" i="32"/>
  <c r="G61" i="44"/>
  <c r="F6" i="30"/>
  <c r="F6" i="45"/>
  <c r="F6" i="44"/>
  <c r="F6" i="31"/>
  <c r="F6" i="32"/>
  <c r="E6" i="30"/>
  <c r="E6" i="45"/>
  <c r="E6" i="31"/>
  <c r="E6" i="32"/>
  <c r="E6" i="44"/>
  <c r="H11" i="39"/>
  <c r="T11" i="38" s="1"/>
  <c r="F31" i="1"/>
  <c r="F28" i="1"/>
  <c r="F37" i="1"/>
  <c r="F34" i="1"/>
  <c r="I6" i="31"/>
  <c r="I6" i="45"/>
  <c r="I6" i="32"/>
  <c r="I6" i="30"/>
  <c r="I6" i="44"/>
  <c r="H6" i="32"/>
  <c r="H6" i="31"/>
  <c r="H6" i="45"/>
  <c r="H6" i="30"/>
  <c r="H6" i="44"/>
  <c r="G6" i="30"/>
  <c r="G6" i="31"/>
  <c r="G6" i="45"/>
  <c r="G6" i="32"/>
  <c r="G6" i="44"/>
  <c r="I2" i="17"/>
  <c r="G21" i="39"/>
  <c r="BA49" i="2" s="1"/>
  <c r="S11" i="38"/>
  <c r="I21" i="39"/>
  <c r="BC49" i="2" s="1"/>
  <c r="U11" i="38"/>
  <c r="G21" i="38"/>
  <c r="AO49" i="2" s="1"/>
  <c r="S11" i="37"/>
  <c r="S21" i="37" s="1"/>
  <c r="H48" i="38"/>
  <c r="T11" i="37"/>
  <c r="T21" i="37" s="1"/>
  <c r="I48" i="38"/>
  <c r="U11" i="37"/>
  <c r="U48" i="37" s="1"/>
  <c r="O26" i="27"/>
  <c r="T49" i="32" s="1"/>
  <c r="K5" i="32"/>
  <c r="S11" i="33"/>
  <c r="S48" i="33" s="1"/>
  <c r="U11" i="33"/>
  <c r="U48" i="33" s="1"/>
  <c r="H48" i="37"/>
  <c r="T11" i="33"/>
  <c r="T48" i="33" s="1"/>
  <c r="J48" i="33"/>
  <c r="J50" i="33" s="1"/>
  <c r="H11" i="33"/>
  <c r="P27" i="26"/>
  <c r="U49" i="31" s="1"/>
  <c r="H47" i="38"/>
  <c r="T43" i="37"/>
  <c r="T47" i="37" s="1"/>
  <c r="G47" i="38"/>
  <c r="S43" i="37"/>
  <c r="S47" i="37" s="1"/>
  <c r="H47" i="37"/>
  <c r="T43" i="33"/>
  <c r="T47" i="33" s="1"/>
  <c r="I47" i="37"/>
  <c r="U43" i="33"/>
  <c r="U47" i="33" s="1"/>
  <c r="G47" i="37"/>
  <c r="S43" i="33"/>
  <c r="S47" i="33" s="1"/>
  <c r="S26" i="28"/>
  <c r="R26" i="28"/>
  <c r="T27" i="26"/>
  <c r="S27" i="26"/>
  <c r="R27" i="26"/>
  <c r="J48" i="39"/>
  <c r="J50" i="39" s="1"/>
  <c r="P5" i="45"/>
  <c r="M26" i="29"/>
  <c r="R49" i="45" s="1"/>
  <c r="H26" i="27"/>
  <c r="M49" i="32" s="1"/>
  <c r="G26" i="27"/>
  <c r="L49" i="32" s="1"/>
  <c r="M26" i="27"/>
  <c r="R49" i="32" s="1"/>
  <c r="J27" i="26"/>
  <c r="O49" i="31" s="1"/>
  <c r="P5" i="44"/>
  <c r="O5" i="44"/>
  <c r="N5" i="44"/>
  <c r="H21" i="38"/>
  <c r="AP49" i="2" s="1"/>
  <c r="V5" i="44"/>
  <c r="I21" i="38"/>
  <c r="AQ49" i="2" s="1"/>
  <c r="K26" i="28"/>
  <c r="P49" i="44" s="1"/>
  <c r="M21" i="38"/>
  <c r="AU49" i="2" s="1"/>
  <c r="J26" i="28"/>
  <c r="O49" i="44" s="1"/>
  <c r="Q21" i="38"/>
  <c r="AY49" i="2" s="1"/>
  <c r="P26" i="28"/>
  <c r="U49" i="44" s="1"/>
  <c r="H26" i="28"/>
  <c r="M49" i="44" s="1"/>
  <c r="M48" i="39"/>
  <c r="M50" i="39" s="1"/>
  <c r="K5" i="45"/>
  <c r="O5" i="45"/>
  <c r="N48" i="39"/>
  <c r="N50" i="39" s="1"/>
  <c r="V5" i="45"/>
  <c r="N5" i="45"/>
  <c r="O48" i="39"/>
  <c r="O50" i="39" s="1"/>
  <c r="U5" i="45"/>
  <c r="M5" i="45"/>
  <c r="R48" i="39"/>
  <c r="R50" i="39" s="1"/>
  <c r="T5" i="45"/>
  <c r="S5" i="45"/>
  <c r="M21" i="39"/>
  <c r="BG49" i="2" s="1"/>
  <c r="R5" i="45"/>
  <c r="P21" i="39"/>
  <c r="BJ49" i="2" s="1"/>
  <c r="J26" i="29"/>
  <c r="O49" i="45" s="1"/>
  <c r="P26" i="29"/>
  <c r="U49" i="45" s="1"/>
  <c r="L26" i="29"/>
  <c r="Q49" i="45" s="1"/>
  <c r="U17" i="29"/>
  <c r="R5" i="44"/>
  <c r="Q5" i="44"/>
  <c r="K5" i="44"/>
  <c r="V11" i="38"/>
  <c r="L48" i="38"/>
  <c r="L50" i="38" s="1"/>
  <c r="N21" i="38"/>
  <c r="AV49" i="2" s="1"/>
  <c r="U5" i="44"/>
  <c r="M5" i="44"/>
  <c r="P21" i="38"/>
  <c r="AX49" i="2" s="1"/>
  <c r="T5" i="44"/>
  <c r="L5" i="44"/>
  <c r="S5" i="44"/>
  <c r="Q26" i="28"/>
  <c r="V49" i="44" s="1"/>
  <c r="I26" i="28"/>
  <c r="N49" i="44" s="1"/>
  <c r="O26" i="28"/>
  <c r="T49" i="44" s="1"/>
  <c r="G26" i="28"/>
  <c r="L49" i="44" s="1"/>
  <c r="L54" i="44"/>
  <c r="U17" i="28"/>
  <c r="J44" i="49" s="1"/>
  <c r="F26" i="28"/>
  <c r="K49" i="44" s="1"/>
  <c r="K50" i="44" s="1"/>
  <c r="O49" i="32"/>
  <c r="Q26" i="27"/>
  <c r="V49" i="32" s="1"/>
  <c r="I26" i="27"/>
  <c r="N49" i="32" s="1"/>
  <c r="Q27" i="26"/>
  <c r="V49" i="31" s="1"/>
  <c r="I27" i="26"/>
  <c r="N49" i="31" s="1"/>
  <c r="O27" i="26"/>
  <c r="T49" i="31" s="1"/>
  <c r="G27" i="26"/>
  <c r="L49" i="31" s="1"/>
  <c r="N27" i="26"/>
  <c r="S49" i="31" s="1"/>
  <c r="M27" i="26"/>
  <c r="R49" i="31" s="1"/>
  <c r="L27" i="26"/>
  <c r="Q49" i="31" s="1"/>
  <c r="K27" i="26"/>
  <c r="P49" i="31" s="1"/>
  <c r="F16" i="25"/>
  <c r="G16" i="25" s="1"/>
  <c r="G18" i="25" s="1"/>
  <c r="G19" i="25" s="1"/>
  <c r="L87" i="30" s="1"/>
  <c r="P5" i="30"/>
  <c r="O5" i="30"/>
  <c r="N5" i="30"/>
  <c r="M5" i="30"/>
  <c r="Q5" i="30"/>
  <c r="F30" i="1"/>
  <c r="F13" i="23" s="1"/>
  <c r="G13" i="24" s="1"/>
  <c r="F33" i="1"/>
  <c r="F14" i="23" s="1"/>
  <c r="G14" i="24" s="1"/>
  <c r="F39" i="1"/>
  <c r="F16" i="23" s="1"/>
  <c r="G16" i="24" s="1"/>
  <c r="G59" i="27"/>
  <c r="K11" i="45"/>
  <c r="K9" i="44"/>
  <c r="K11" i="44"/>
  <c r="H27" i="25"/>
  <c r="K9" i="30"/>
  <c r="K11" i="30"/>
  <c r="E13" i="9"/>
  <c r="L9" i="9" s="1"/>
  <c r="T59" i="27"/>
  <c r="T63" i="27" s="1"/>
  <c r="T64" i="27" s="1"/>
  <c r="U20" i="37" s="1"/>
  <c r="S59" i="27"/>
  <c r="S63" i="27" s="1"/>
  <c r="S64" i="27" s="1"/>
  <c r="T20" i="37" s="1"/>
  <c r="F13" i="9"/>
  <c r="M12" i="9" s="1"/>
  <c r="J63" i="23"/>
  <c r="U5" i="31"/>
  <c r="N5" i="31"/>
  <c r="V5" i="31"/>
  <c r="O5" i="31"/>
  <c r="P5" i="31"/>
  <c r="Q5" i="31"/>
  <c r="R5" i="31"/>
  <c r="S5" i="31"/>
  <c r="T5" i="31"/>
  <c r="H13" i="9"/>
  <c r="O11" i="9" s="1"/>
  <c r="U37" i="29"/>
  <c r="P30" i="3" s="1"/>
  <c r="T60" i="26"/>
  <c r="T64" i="26" s="1"/>
  <c r="T65" i="26" s="1"/>
  <c r="U20" i="33" s="1"/>
  <c r="S60" i="26"/>
  <c r="S64" i="26" s="1"/>
  <c r="S65" i="26" s="1"/>
  <c r="T20" i="33" s="1"/>
  <c r="R60" i="26"/>
  <c r="R64" i="26" s="1"/>
  <c r="R65" i="26" s="1"/>
  <c r="S20" i="33" s="1"/>
  <c r="J60" i="26"/>
  <c r="J64" i="26" s="1"/>
  <c r="J65" i="26" s="1"/>
  <c r="D13" i="9"/>
  <c r="K11" i="9" s="1"/>
  <c r="P48" i="37"/>
  <c r="P50" i="37" s="1"/>
  <c r="L5" i="32"/>
  <c r="U5" i="32"/>
  <c r="O48" i="37"/>
  <c r="O50" i="37" s="1"/>
  <c r="T5" i="32"/>
  <c r="M5" i="32"/>
  <c r="V5" i="32"/>
  <c r="N5" i="32"/>
  <c r="S5" i="32"/>
  <c r="R5" i="32"/>
  <c r="Q5" i="32"/>
  <c r="V11" i="37"/>
  <c r="P5" i="32"/>
  <c r="G48" i="37"/>
  <c r="O5" i="32"/>
  <c r="M46" i="37"/>
  <c r="N46" i="37"/>
  <c r="S9" i="32"/>
  <c r="K11" i="32"/>
  <c r="K9" i="32"/>
  <c r="P9" i="32"/>
  <c r="O9" i="32"/>
  <c r="V9" i="32"/>
  <c r="N9" i="32"/>
  <c r="U9" i="32"/>
  <c r="M9" i="32"/>
  <c r="K9" i="31"/>
  <c r="G13" i="9"/>
  <c r="N9" i="9" s="1"/>
  <c r="R59" i="27"/>
  <c r="R63" i="27" s="1"/>
  <c r="R64" i="27" s="1"/>
  <c r="S20" i="37" s="1"/>
  <c r="J59" i="27"/>
  <c r="J26" i="23"/>
  <c r="O48" i="30" s="1"/>
  <c r="K63" i="23"/>
  <c r="I26" i="23"/>
  <c r="N48" i="30" s="1"/>
  <c r="L63" i="23"/>
  <c r="T19" i="48"/>
  <c r="F21" i="17"/>
  <c r="G21" i="17"/>
  <c r="K2" i="17"/>
  <c r="H19" i="17"/>
  <c r="H8" i="17"/>
  <c r="H16" i="17"/>
  <c r="H6" i="17"/>
  <c r="H9" i="17"/>
  <c r="H20" i="17"/>
  <c r="H10" i="17"/>
  <c r="H11" i="17"/>
  <c r="H12" i="17"/>
  <c r="H13" i="17"/>
  <c r="H17" i="17"/>
  <c r="H14" i="17"/>
  <c r="H18" i="17"/>
  <c r="H7" i="17"/>
  <c r="H15" i="17"/>
  <c r="M57" i="29"/>
  <c r="U56" i="29"/>
  <c r="S57" i="28"/>
  <c r="S61" i="28" s="1"/>
  <c r="S62" i="28" s="1"/>
  <c r="T20" i="38" s="1"/>
  <c r="K26" i="29"/>
  <c r="P49" i="45" s="1"/>
  <c r="H26" i="29"/>
  <c r="Q26" i="29"/>
  <c r="V49" i="45" s="1"/>
  <c r="I26" i="29"/>
  <c r="N49" i="45" s="1"/>
  <c r="O26" i="29"/>
  <c r="T49" i="45" s="1"/>
  <c r="G26" i="29"/>
  <c r="L49" i="45" s="1"/>
  <c r="N26" i="29"/>
  <c r="S49" i="45" s="1"/>
  <c r="M26" i="28"/>
  <c r="R49" i="44" s="1"/>
  <c r="L26" i="28"/>
  <c r="Q49" i="44" s="1"/>
  <c r="T57" i="28"/>
  <c r="T61" i="28" s="1"/>
  <c r="T62" i="28" s="1"/>
  <c r="U20" i="38" s="1"/>
  <c r="U18" i="28"/>
  <c r="N26" i="28"/>
  <c r="S49" i="44" s="1"/>
  <c r="S26" i="27"/>
  <c r="K26" i="27"/>
  <c r="P49" i="32" s="1"/>
  <c r="Q59" i="27"/>
  <c r="I59" i="27"/>
  <c r="P59" i="27"/>
  <c r="H59" i="27"/>
  <c r="O59" i="27"/>
  <c r="P26" i="27"/>
  <c r="U49" i="32" s="1"/>
  <c r="F59" i="27"/>
  <c r="N59" i="27"/>
  <c r="K59" i="27"/>
  <c r="M59" i="27"/>
  <c r="L59" i="27"/>
  <c r="F26" i="27"/>
  <c r="K49" i="32" s="1"/>
  <c r="F60" i="26"/>
  <c r="F64" i="26" s="1"/>
  <c r="F65" i="26" s="1"/>
  <c r="M60" i="26"/>
  <c r="M64" i="26" s="1"/>
  <c r="M65" i="26" s="1"/>
  <c r="Q60" i="26"/>
  <c r="Q64" i="26" s="1"/>
  <c r="Q65" i="26" s="1"/>
  <c r="I60" i="26"/>
  <c r="I64" i="26" s="1"/>
  <c r="I65" i="26" s="1"/>
  <c r="P60" i="26"/>
  <c r="P64" i="26" s="1"/>
  <c r="P65" i="26" s="1"/>
  <c r="G60" i="26"/>
  <c r="G64" i="26" s="1"/>
  <c r="G65" i="26" s="1"/>
  <c r="I63" i="23"/>
  <c r="H63" i="23"/>
  <c r="L26" i="23"/>
  <c r="Q48" i="30" s="1"/>
  <c r="K26" i="23"/>
  <c r="P48" i="30" s="1"/>
  <c r="J48" i="1"/>
  <c r="L57" i="29"/>
  <c r="BG46" i="2" s="1"/>
  <c r="F57" i="29"/>
  <c r="BA46" i="2" s="1"/>
  <c r="K57" i="29"/>
  <c r="BF46" i="2" s="1"/>
  <c r="G57" i="29"/>
  <c r="BB46" i="2" s="1"/>
  <c r="J57" i="29"/>
  <c r="BE46" i="2" s="1"/>
  <c r="Q57" i="29"/>
  <c r="BL46" i="2" s="1"/>
  <c r="I57" i="29"/>
  <c r="BD46" i="2" s="1"/>
  <c r="P57" i="29"/>
  <c r="BK46" i="2" s="1"/>
  <c r="H57" i="29"/>
  <c r="BC46" i="2" s="1"/>
  <c r="O57" i="29"/>
  <c r="BJ46" i="2" s="1"/>
  <c r="N57" i="29"/>
  <c r="BI46" i="2" s="1"/>
  <c r="R57" i="28"/>
  <c r="J57" i="28"/>
  <c r="AS46" i="2" s="1"/>
  <c r="I57" i="28"/>
  <c r="AR46" i="2" s="1"/>
  <c r="N57" i="28"/>
  <c r="Q57" i="28"/>
  <c r="P57" i="28"/>
  <c r="AY46" i="2" s="1"/>
  <c r="H57" i="28"/>
  <c r="AQ46" i="2" s="1"/>
  <c r="O57" i="28"/>
  <c r="F57" i="28"/>
  <c r="AO46" i="2" s="1"/>
  <c r="G57" i="28"/>
  <c r="M57" i="28"/>
  <c r="L57" i="28"/>
  <c r="K57" i="28"/>
  <c r="AT46" i="2" s="1"/>
  <c r="U56" i="28"/>
  <c r="K55" i="44"/>
  <c r="K56" i="44" s="1"/>
  <c r="U37" i="28"/>
  <c r="U18" i="27"/>
  <c r="M47" i="32"/>
  <c r="K45" i="32"/>
  <c r="K54" i="32" s="1"/>
  <c r="U17" i="27"/>
  <c r="V45" i="32"/>
  <c r="P45" i="32"/>
  <c r="P48" i="32" s="1"/>
  <c r="U38" i="27"/>
  <c r="H60" i="26"/>
  <c r="H64" i="26" s="1"/>
  <c r="H65" i="26" s="1"/>
  <c r="K60" i="26"/>
  <c r="L60" i="26"/>
  <c r="N60" i="26"/>
  <c r="N64" i="26" s="1"/>
  <c r="N65" i="26" s="1"/>
  <c r="O60" i="26"/>
  <c r="L47" i="31"/>
  <c r="M47" i="31"/>
  <c r="U18" i="26"/>
  <c r="L59" i="23"/>
  <c r="L61" i="23" s="1"/>
  <c r="K59" i="23"/>
  <c r="K61" i="23" s="1"/>
  <c r="J59" i="23"/>
  <c r="J61" i="23" s="1"/>
  <c r="O59" i="30" s="1"/>
  <c r="I59" i="23"/>
  <c r="I61" i="23" s="1"/>
  <c r="N59" i="30" s="1"/>
  <c r="H59" i="23"/>
  <c r="H61" i="23" s="1"/>
  <c r="U18" i="23"/>
  <c r="N44" i="30"/>
  <c r="N47" i="30" s="1"/>
  <c r="S17" i="23"/>
  <c r="S26" i="23" s="1"/>
  <c r="T17" i="23"/>
  <c r="O50" i="30"/>
  <c r="Q44" i="30"/>
  <c r="P44" i="30"/>
  <c r="P47" i="30" s="1"/>
  <c r="R17" i="23"/>
  <c r="R26" i="23" s="1"/>
  <c r="Q50" i="30"/>
  <c r="V50" i="30"/>
  <c r="U45" i="44"/>
  <c r="U48" i="44" s="1"/>
  <c r="O45" i="45"/>
  <c r="O48" i="45" s="1"/>
  <c r="S45" i="44"/>
  <c r="S56" i="44" s="1"/>
  <c r="K54" i="44"/>
  <c r="I48" i="1"/>
  <c r="K52" i="44"/>
  <c r="R45" i="44"/>
  <c r="R54" i="44" s="1"/>
  <c r="L52" i="44"/>
  <c r="U58" i="27"/>
  <c r="N55" i="32"/>
  <c r="T45" i="44"/>
  <c r="V45" i="44"/>
  <c r="Q45" i="44"/>
  <c r="Q52" i="44" s="1"/>
  <c r="P45" i="44"/>
  <c r="O45" i="44"/>
  <c r="O52" i="44" s="1"/>
  <c r="N45" i="44"/>
  <c r="M45" i="44"/>
  <c r="L51" i="32"/>
  <c r="N45" i="32"/>
  <c r="N48" i="32" s="1"/>
  <c r="O45" i="32"/>
  <c r="K51" i="32"/>
  <c r="U45" i="32"/>
  <c r="T45" i="32"/>
  <c r="T48" i="32" s="1"/>
  <c r="S45" i="32"/>
  <c r="S52" i="32" s="1"/>
  <c r="R45" i="32"/>
  <c r="Q45" i="32"/>
  <c r="Q54" i="32" s="1"/>
  <c r="M55" i="32"/>
  <c r="U50" i="30"/>
  <c r="P50" i="30"/>
  <c r="M50" i="30"/>
  <c r="U58" i="23"/>
  <c r="F50" i="1" s="1"/>
  <c r="U38" i="23"/>
  <c r="U54" i="30"/>
  <c r="T54" i="30"/>
  <c r="S54" i="30"/>
  <c r="M54" i="30"/>
  <c r="U59" i="26"/>
  <c r="O51" i="31"/>
  <c r="K51" i="31"/>
  <c r="U17" i="26"/>
  <c r="U39" i="26"/>
  <c r="Q54" i="30"/>
  <c r="M44" i="30"/>
  <c r="O44" i="30"/>
  <c r="S51" i="45"/>
  <c r="S51" i="44"/>
  <c r="P45" i="31"/>
  <c r="P52" i="31" s="1"/>
  <c r="M45" i="31"/>
  <c r="M54" i="31" s="1"/>
  <c r="U45" i="31"/>
  <c r="U54" i="31" s="1"/>
  <c r="O45" i="31"/>
  <c r="O48" i="31" s="1"/>
  <c r="N45" i="31"/>
  <c r="N54" i="31" s="1"/>
  <c r="V45" i="31"/>
  <c r="Q45" i="31"/>
  <c r="Q54" i="31" s="1"/>
  <c r="R45" i="31"/>
  <c r="R48" i="31" s="1"/>
  <c r="K45" i="31"/>
  <c r="S45" i="31"/>
  <c r="L45" i="31"/>
  <c r="T45" i="31"/>
  <c r="H48" i="1"/>
  <c r="G48" i="1"/>
  <c r="S50" i="30"/>
  <c r="K45" i="45"/>
  <c r="K52" i="45" s="1"/>
  <c r="L45" i="45"/>
  <c r="L56" i="45" s="1"/>
  <c r="S45" i="45"/>
  <c r="S56" i="45" s="1"/>
  <c r="R45" i="45"/>
  <c r="R56" i="45" s="1"/>
  <c r="Q45" i="45"/>
  <c r="P45" i="45"/>
  <c r="P52" i="45" s="1"/>
  <c r="N45" i="45"/>
  <c r="M45" i="45"/>
  <c r="M48" i="45" s="1"/>
  <c r="T45" i="45"/>
  <c r="T52" i="45" s="1"/>
  <c r="U45" i="45"/>
  <c r="U48" i="45" s="1"/>
  <c r="V45" i="45"/>
  <c r="J57" i="1"/>
  <c r="I57" i="1"/>
  <c r="K48" i="44"/>
  <c r="K11" i="31"/>
  <c r="L56" i="32"/>
  <c r="J55" i="1"/>
  <c r="H55" i="1"/>
  <c r="P50" i="39"/>
  <c r="G31" i="25"/>
  <c r="K48" i="24"/>
  <c r="K50" i="24" s="1"/>
  <c r="I21" i="24"/>
  <c r="G49" i="2" s="1"/>
  <c r="L48" i="24"/>
  <c r="L50" i="24" s="1"/>
  <c r="M21" i="24"/>
  <c r="K49" i="2" s="1"/>
  <c r="K48" i="38"/>
  <c r="K50" i="38" s="1"/>
  <c r="G50" i="39"/>
  <c r="I48" i="39"/>
  <c r="I50" i="39" s="1"/>
  <c r="Q48" i="39"/>
  <c r="Q50" i="39" s="1"/>
  <c r="K48" i="39"/>
  <c r="L48" i="39"/>
  <c r="L50" i="39" s="1"/>
  <c r="P50" i="38"/>
  <c r="Q50" i="38"/>
  <c r="M50" i="38"/>
  <c r="N50" i="38"/>
  <c r="G48" i="38"/>
  <c r="O48" i="38"/>
  <c r="O50" i="38" s="1"/>
  <c r="J48" i="38"/>
  <c r="J50" i="38" s="1"/>
  <c r="R48" i="38"/>
  <c r="R50" i="38" s="1"/>
  <c r="J48" i="37"/>
  <c r="J50" i="37" s="1"/>
  <c r="G46" i="37"/>
  <c r="I48" i="37"/>
  <c r="Q48" i="37"/>
  <c r="Q50" i="37" s="1"/>
  <c r="K48" i="37"/>
  <c r="K50" i="37" s="1"/>
  <c r="L48" i="37"/>
  <c r="L50" i="37" s="1"/>
  <c r="J21" i="24"/>
  <c r="H49" i="2" s="1"/>
  <c r="J50" i="24"/>
  <c r="G47" i="24"/>
  <c r="M50" i="24"/>
  <c r="I50" i="24"/>
  <c r="P20" i="20"/>
  <c r="Q20" i="20" s="1"/>
  <c r="P14" i="20"/>
  <c r="Q14" i="20" s="1"/>
  <c r="P11" i="20"/>
  <c r="Q11" i="20" s="1"/>
  <c r="P8" i="20"/>
  <c r="Q8" i="20" s="1"/>
  <c r="P5" i="20"/>
  <c r="Q5" i="20" s="1"/>
  <c r="P17" i="20"/>
  <c r="Q17" i="20" s="1"/>
  <c r="L46" i="44" l="1"/>
  <c r="L50" i="44"/>
  <c r="L56" i="44"/>
  <c r="M46" i="44"/>
  <c r="M50" i="37"/>
  <c r="G9" i="32"/>
  <c r="G9" i="45"/>
  <c r="G9" i="44"/>
  <c r="G9" i="31"/>
  <c r="G9" i="30"/>
  <c r="I50" i="38"/>
  <c r="K50" i="39"/>
  <c r="U50" i="33"/>
  <c r="I27" i="25"/>
  <c r="H62" i="23"/>
  <c r="H19" i="24"/>
  <c r="H51" i="24" s="1"/>
  <c r="L60" i="30"/>
  <c r="M50" i="32"/>
  <c r="M46" i="32"/>
  <c r="L54" i="32"/>
  <c r="L48" i="32"/>
  <c r="L50" i="32"/>
  <c r="L52" i="32"/>
  <c r="N50" i="37"/>
  <c r="G51" i="44"/>
  <c r="G51" i="31"/>
  <c r="G51" i="45"/>
  <c r="G51" i="32"/>
  <c r="G50" i="30"/>
  <c r="H49" i="50"/>
  <c r="I49" i="49"/>
  <c r="H49" i="51"/>
  <c r="H49" i="52"/>
  <c r="I45" i="49"/>
  <c r="H45" i="50"/>
  <c r="H45" i="51"/>
  <c r="H45" i="52"/>
  <c r="G49" i="51"/>
  <c r="G49" i="50"/>
  <c r="H49" i="49"/>
  <c r="G49" i="52"/>
  <c r="G45" i="52"/>
  <c r="G45" i="51"/>
  <c r="H45" i="49"/>
  <c r="G45" i="50"/>
  <c r="O47" i="30"/>
  <c r="E46" i="30"/>
  <c r="E47" i="44"/>
  <c r="E47" i="31"/>
  <c r="E47" i="32"/>
  <c r="E47" i="45"/>
  <c r="F45" i="50"/>
  <c r="F45" i="52"/>
  <c r="G45" i="49"/>
  <c r="F45" i="51"/>
  <c r="E50" i="30"/>
  <c r="E51" i="44"/>
  <c r="E51" i="31"/>
  <c r="E51" i="45"/>
  <c r="E51" i="32"/>
  <c r="M59" i="29"/>
  <c r="BH46" i="2"/>
  <c r="O61" i="28"/>
  <c r="O62" i="28" s="1"/>
  <c r="P20" i="38" s="1"/>
  <c r="AX46" i="2"/>
  <c r="Q61" i="28"/>
  <c r="Q62" i="28" s="1"/>
  <c r="R20" i="38" s="1"/>
  <c r="AZ46" i="2"/>
  <c r="L61" i="28"/>
  <c r="L62" i="28" s="1"/>
  <c r="Q63" i="44" s="1"/>
  <c r="AU46" i="2"/>
  <c r="N61" i="28"/>
  <c r="N62" i="28" s="1"/>
  <c r="O20" i="38" s="1"/>
  <c r="AW46" i="2"/>
  <c r="M61" i="28"/>
  <c r="M62" i="28" s="1"/>
  <c r="N20" i="38" s="1"/>
  <c r="AV46" i="2"/>
  <c r="G61" i="28"/>
  <c r="G62" i="28" s="1"/>
  <c r="L63" i="45" s="1"/>
  <c r="AP46" i="2"/>
  <c r="M52" i="32"/>
  <c r="K63" i="27"/>
  <c r="K64" i="27" s="1"/>
  <c r="L20" i="37" s="1"/>
  <c r="AH46" i="2"/>
  <c r="N63" i="27"/>
  <c r="N64" i="27" s="1"/>
  <c r="S63" i="32" s="1"/>
  <c r="AK46" i="2"/>
  <c r="F63" i="27"/>
  <c r="F64" i="27" s="1"/>
  <c r="G20" i="37" s="1"/>
  <c r="AC46" i="2"/>
  <c r="J63" i="27"/>
  <c r="J64" i="27" s="1"/>
  <c r="K20" i="37" s="1"/>
  <c r="AG46" i="2"/>
  <c r="M48" i="32"/>
  <c r="G63" i="27"/>
  <c r="G64" i="27" s="1"/>
  <c r="H20" i="37" s="1"/>
  <c r="AD46" i="2"/>
  <c r="M63" i="27"/>
  <c r="M64" i="27" s="1"/>
  <c r="N20" i="37" s="1"/>
  <c r="AJ46" i="2"/>
  <c r="P63" i="27"/>
  <c r="P64" i="27" s="1"/>
  <c r="Q20" i="37" s="1"/>
  <c r="AM46" i="2"/>
  <c r="I63" i="27"/>
  <c r="I64" i="27" s="1"/>
  <c r="N63" i="32" s="1"/>
  <c r="AF46" i="2"/>
  <c r="Q63" i="27"/>
  <c r="Q64" i="27" s="1"/>
  <c r="R20" i="37" s="1"/>
  <c r="AN46" i="2"/>
  <c r="M56" i="32"/>
  <c r="O63" i="27"/>
  <c r="O64" i="27" s="1"/>
  <c r="P20" i="37" s="1"/>
  <c r="AL46" i="2"/>
  <c r="H63" i="27"/>
  <c r="H64" i="27" s="1"/>
  <c r="M63" i="32" s="1"/>
  <c r="AE46" i="2"/>
  <c r="L63" i="27"/>
  <c r="L64" i="27" s="1"/>
  <c r="Q63" i="32" s="1"/>
  <c r="AI46" i="2"/>
  <c r="G20" i="33"/>
  <c r="K63" i="31"/>
  <c r="K20" i="33"/>
  <c r="O63" i="31"/>
  <c r="H20" i="33"/>
  <c r="L63" i="31"/>
  <c r="N20" i="33"/>
  <c r="R63" i="31"/>
  <c r="I20" i="33"/>
  <c r="M63" i="31"/>
  <c r="Q20" i="33"/>
  <c r="U63" i="31"/>
  <c r="J20" i="33"/>
  <c r="N63" i="31"/>
  <c r="O20" i="33"/>
  <c r="S63" i="31"/>
  <c r="R20" i="33"/>
  <c r="V63" i="31"/>
  <c r="H64" i="23"/>
  <c r="H65" i="23" s="1"/>
  <c r="K64" i="23"/>
  <c r="J64" i="23"/>
  <c r="J65" i="23" s="1"/>
  <c r="I64" i="23"/>
  <c r="I65" i="23" s="1"/>
  <c r="L64" i="23"/>
  <c r="L65" i="23" s="1"/>
  <c r="Q63" i="30" s="1"/>
  <c r="Q64" i="30" s="1"/>
  <c r="H48" i="39"/>
  <c r="H50" i="39" s="1"/>
  <c r="U52" i="38"/>
  <c r="T24" i="42" s="1"/>
  <c r="T25" i="42" s="1"/>
  <c r="U22" i="38"/>
  <c r="T52" i="38"/>
  <c r="S24" i="42" s="1"/>
  <c r="S25" i="42" s="1"/>
  <c r="T22" i="38"/>
  <c r="S63" i="44"/>
  <c r="S63" i="45"/>
  <c r="U52" i="37"/>
  <c r="T24" i="41" s="1"/>
  <c r="T25" i="41" s="1"/>
  <c r="U22" i="37"/>
  <c r="T52" i="37"/>
  <c r="S24" i="41" s="1"/>
  <c r="S25" i="41" s="1"/>
  <c r="T22" i="37"/>
  <c r="T48" i="37"/>
  <c r="T50" i="37" s="1"/>
  <c r="S52" i="37"/>
  <c r="R24" i="41" s="1"/>
  <c r="R25" i="41" s="1"/>
  <c r="S22" i="37"/>
  <c r="U21" i="33"/>
  <c r="U52" i="33"/>
  <c r="T24" i="40" s="1"/>
  <c r="T25" i="40" s="1"/>
  <c r="T52" i="33"/>
  <c r="S24" i="40" s="1"/>
  <c r="S25" i="40" s="1"/>
  <c r="S52" i="33"/>
  <c r="R24" i="40" s="1"/>
  <c r="R25" i="40" s="1"/>
  <c r="U50" i="37"/>
  <c r="G50" i="38"/>
  <c r="H21" i="39"/>
  <c r="V11" i="39"/>
  <c r="L5" i="45"/>
  <c r="I45" i="32"/>
  <c r="I45" i="44"/>
  <c r="I44" i="30"/>
  <c r="I45" i="31"/>
  <c r="I45" i="45"/>
  <c r="I49" i="44"/>
  <c r="I48" i="30"/>
  <c r="I49" i="31"/>
  <c r="I49" i="45"/>
  <c r="I49" i="32"/>
  <c r="I5" i="30"/>
  <c r="I5" i="31"/>
  <c r="I5" i="45"/>
  <c r="I5" i="44"/>
  <c r="I5" i="32"/>
  <c r="U52" i="45"/>
  <c r="U21" i="37"/>
  <c r="H5" i="45"/>
  <c r="H5" i="44"/>
  <c r="H5" i="32"/>
  <c r="H5" i="31"/>
  <c r="H5" i="30"/>
  <c r="S48" i="37"/>
  <c r="S50" i="37" s="1"/>
  <c r="V54" i="44"/>
  <c r="H45" i="31"/>
  <c r="H45" i="44"/>
  <c r="H45" i="45"/>
  <c r="H45" i="32"/>
  <c r="H44" i="30"/>
  <c r="H49" i="32"/>
  <c r="H48" i="30"/>
  <c r="H49" i="44"/>
  <c r="H49" i="31"/>
  <c r="H49" i="45"/>
  <c r="G49" i="32"/>
  <c r="G48" i="30"/>
  <c r="G49" i="44"/>
  <c r="G49" i="31"/>
  <c r="G49" i="45"/>
  <c r="G5" i="45"/>
  <c r="G5" i="44"/>
  <c r="G5" i="32"/>
  <c r="G5" i="31"/>
  <c r="G5" i="30"/>
  <c r="V52" i="32"/>
  <c r="G45" i="31"/>
  <c r="G45" i="45"/>
  <c r="G45" i="32"/>
  <c r="G44" i="30"/>
  <c r="G45" i="44"/>
  <c r="S50" i="33"/>
  <c r="S21" i="33"/>
  <c r="G61" i="27"/>
  <c r="F5" i="32"/>
  <c r="F5" i="30"/>
  <c r="F5" i="44"/>
  <c r="F5" i="31"/>
  <c r="F5" i="45"/>
  <c r="F45" i="44"/>
  <c r="F45" i="31"/>
  <c r="F45" i="45"/>
  <c r="F44" i="30"/>
  <c r="F45" i="32"/>
  <c r="F49" i="32"/>
  <c r="F48" i="30"/>
  <c r="F49" i="44"/>
  <c r="F49" i="31"/>
  <c r="F49" i="45"/>
  <c r="O52" i="45"/>
  <c r="U21" i="38"/>
  <c r="U48" i="38"/>
  <c r="U50" i="38" s="1"/>
  <c r="U26" i="29"/>
  <c r="P29" i="3" s="1"/>
  <c r="T21" i="38"/>
  <c r="T48" i="38"/>
  <c r="T50" i="38" s="1"/>
  <c r="S21" i="38"/>
  <c r="S48" i="38"/>
  <c r="S50" i="38" s="1"/>
  <c r="H50" i="38"/>
  <c r="I44" i="51"/>
  <c r="I46" i="51" s="1"/>
  <c r="I47" i="51" s="1"/>
  <c r="I44" i="50"/>
  <c r="I46" i="50" s="1"/>
  <c r="I47" i="50" s="1"/>
  <c r="T50" i="33"/>
  <c r="L46" i="32"/>
  <c r="H50" i="37"/>
  <c r="T21" i="33"/>
  <c r="P50" i="31"/>
  <c r="M50" i="31"/>
  <c r="F49" i="50"/>
  <c r="F49" i="51"/>
  <c r="G49" i="49"/>
  <c r="F49" i="52"/>
  <c r="I50" i="37"/>
  <c r="S50" i="45"/>
  <c r="O56" i="45"/>
  <c r="H44" i="51"/>
  <c r="H44" i="52"/>
  <c r="G44" i="52"/>
  <c r="G44" i="50"/>
  <c r="G44" i="51"/>
  <c r="U54" i="44"/>
  <c r="T50" i="44"/>
  <c r="M48" i="44"/>
  <c r="U50" i="44"/>
  <c r="Q48" i="44"/>
  <c r="N27" i="3"/>
  <c r="I44" i="52"/>
  <c r="M49" i="45"/>
  <c r="M50" i="45" s="1"/>
  <c r="J44" i="52"/>
  <c r="J44" i="51"/>
  <c r="J44" i="50"/>
  <c r="K44" i="49"/>
  <c r="K46" i="49" s="1"/>
  <c r="K47" i="49" s="1"/>
  <c r="P27" i="3"/>
  <c r="V21" i="38"/>
  <c r="U52" i="44"/>
  <c r="J46" i="49"/>
  <c r="J47" i="49" s="1"/>
  <c r="I44" i="49"/>
  <c r="H44" i="50"/>
  <c r="L27" i="3"/>
  <c r="L50" i="31"/>
  <c r="L48" i="31"/>
  <c r="H44" i="49"/>
  <c r="J27" i="3"/>
  <c r="F18" i="25"/>
  <c r="F19" i="25" s="1"/>
  <c r="H16" i="25"/>
  <c r="F27" i="1"/>
  <c r="F12" i="23" s="1"/>
  <c r="M61" i="29"/>
  <c r="M62" i="29" s="1"/>
  <c r="N20" i="39" s="1"/>
  <c r="I61" i="27"/>
  <c r="N60" i="32" s="1"/>
  <c r="T62" i="26"/>
  <c r="T66" i="26" s="1"/>
  <c r="I62" i="26"/>
  <c r="I66" i="26" s="1"/>
  <c r="N64" i="31" s="1"/>
  <c r="N65" i="31" s="1"/>
  <c r="L11" i="9"/>
  <c r="L10" i="9"/>
  <c r="L12" i="9"/>
  <c r="H31" i="25"/>
  <c r="N90" i="30"/>
  <c r="M90" i="30"/>
  <c r="N12" i="9"/>
  <c r="O59" i="28"/>
  <c r="S57" i="32"/>
  <c r="S58" i="32" s="1"/>
  <c r="S61" i="27"/>
  <c r="S65" i="27" s="1"/>
  <c r="J49" i="1"/>
  <c r="O10" i="9"/>
  <c r="G59" i="28"/>
  <c r="M9" i="9"/>
  <c r="M10" i="9"/>
  <c r="K57" i="32"/>
  <c r="K58" i="32" s="1"/>
  <c r="M11" i="9"/>
  <c r="M57" i="32"/>
  <c r="M58" i="32" s="1"/>
  <c r="R61" i="27"/>
  <c r="R65" i="27" s="1"/>
  <c r="T61" i="27"/>
  <c r="T65" i="27" s="1"/>
  <c r="J62" i="26"/>
  <c r="J66" i="26" s="1"/>
  <c r="O64" i="31" s="1"/>
  <c r="O65" i="31" s="1"/>
  <c r="Q62" i="26"/>
  <c r="Q66" i="26" s="1"/>
  <c r="V64" i="31" s="1"/>
  <c r="K10" i="9"/>
  <c r="O9" i="9"/>
  <c r="O12" i="9"/>
  <c r="S62" i="26"/>
  <c r="S66" i="26" s="1"/>
  <c r="P62" i="26"/>
  <c r="P66" i="26" s="1"/>
  <c r="U64" i="31" s="1"/>
  <c r="U65" i="31" s="1"/>
  <c r="R62" i="26"/>
  <c r="R66" i="26" s="1"/>
  <c r="K9" i="9"/>
  <c r="K12" i="9"/>
  <c r="V21" i="37"/>
  <c r="N11" i="9"/>
  <c r="N10" i="9"/>
  <c r="N30" i="3"/>
  <c r="L61" i="27"/>
  <c r="Q60" i="32" s="1"/>
  <c r="M61" i="27"/>
  <c r="R60" i="32" s="1"/>
  <c r="L30" i="3"/>
  <c r="F61" i="27"/>
  <c r="U57" i="32"/>
  <c r="U58" i="32" s="1"/>
  <c r="J61" i="27"/>
  <c r="O60" i="32" s="1"/>
  <c r="Q61" i="27"/>
  <c r="V60" i="32" s="1"/>
  <c r="N51" i="30"/>
  <c r="T63" i="23"/>
  <c r="S63" i="23"/>
  <c r="T26" i="23"/>
  <c r="R63" i="23"/>
  <c r="F49" i="1"/>
  <c r="H30" i="3"/>
  <c r="H21" i="17"/>
  <c r="K57" i="45"/>
  <c r="K58" i="45" s="1"/>
  <c r="U57" i="29"/>
  <c r="S59" i="28"/>
  <c r="S63" i="28" s="1"/>
  <c r="I61" i="29"/>
  <c r="I62" i="29" s="1"/>
  <c r="J20" i="39" s="1"/>
  <c r="I59" i="29"/>
  <c r="N60" i="45" s="1"/>
  <c r="Q61" i="29"/>
  <c r="Q62" i="29" s="1"/>
  <c r="R20" i="39" s="1"/>
  <c r="Q59" i="29"/>
  <c r="V60" i="45" s="1"/>
  <c r="N59" i="29"/>
  <c r="N61" i="29"/>
  <c r="N62" i="29" s="1"/>
  <c r="O20" i="39" s="1"/>
  <c r="P61" i="29"/>
  <c r="P62" i="29" s="1"/>
  <c r="Q20" i="39" s="1"/>
  <c r="P59" i="29"/>
  <c r="J61" i="29"/>
  <c r="J62" i="29" s="1"/>
  <c r="K20" i="39" s="1"/>
  <c r="J59" i="29"/>
  <c r="G61" i="29"/>
  <c r="G62" i="29" s="1"/>
  <c r="H20" i="39" s="1"/>
  <c r="G59" i="29"/>
  <c r="K59" i="29"/>
  <c r="K61" i="29"/>
  <c r="K62" i="29" s="1"/>
  <c r="L20" i="39" s="1"/>
  <c r="O59" i="29"/>
  <c r="O61" i="29"/>
  <c r="O62" i="29" s="1"/>
  <c r="P20" i="39" s="1"/>
  <c r="F61" i="29"/>
  <c r="F62" i="29" s="1"/>
  <c r="F59" i="29"/>
  <c r="P28" i="3"/>
  <c r="H61" i="29"/>
  <c r="H62" i="29" s="1"/>
  <c r="I20" i="39" s="1"/>
  <c r="H59" i="29"/>
  <c r="Q57" i="45"/>
  <c r="Q58" i="45" s="1"/>
  <c r="L59" i="29"/>
  <c r="Q60" i="45" s="1"/>
  <c r="L61" i="29"/>
  <c r="L62" i="29" s="1"/>
  <c r="M20" i="39" s="1"/>
  <c r="K59" i="28"/>
  <c r="P60" i="44" s="1"/>
  <c r="K61" i="28"/>
  <c r="Q59" i="28"/>
  <c r="F59" i="28"/>
  <c r="K60" i="44" s="1"/>
  <c r="F61" i="28"/>
  <c r="F62" i="28" s="1"/>
  <c r="I59" i="28"/>
  <c r="N60" i="44" s="1"/>
  <c r="I61" i="28"/>
  <c r="N28" i="3"/>
  <c r="I45" i="1"/>
  <c r="J59" i="28"/>
  <c r="O60" i="44" s="1"/>
  <c r="J61" i="28"/>
  <c r="H59" i="28"/>
  <c r="M60" i="44" s="1"/>
  <c r="H61" i="28"/>
  <c r="R59" i="28"/>
  <c r="R61" i="28"/>
  <c r="R62" i="28" s="1"/>
  <c r="S20" i="38" s="1"/>
  <c r="T59" i="28"/>
  <c r="T63" i="28" s="1"/>
  <c r="P59" i="28"/>
  <c r="U60" i="44" s="1"/>
  <c r="P61" i="28"/>
  <c r="H45" i="1"/>
  <c r="L28" i="3"/>
  <c r="J28" i="3"/>
  <c r="G45" i="1"/>
  <c r="S50" i="31"/>
  <c r="T50" i="31"/>
  <c r="M62" i="26"/>
  <c r="M66" i="26" s="1"/>
  <c r="R64" i="31" s="1"/>
  <c r="R65" i="31" s="1"/>
  <c r="F62" i="26"/>
  <c r="F66" i="26" s="1"/>
  <c r="N62" i="26"/>
  <c r="N66" i="26" s="1"/>
  <c r="L62" i="26"/>
  <c r="L64" i="26"/>
  <c r="L65" i="26" s="1"/>
  <c r="K62" i="26"/>
  <c r="K64" i="26"/>
  <c r="K65" i="26" s="1"/>
  <c r="O62" i="26"/>
  <c r="O64" i="26"/>
  <c r="O65" i="26" s="1"/>
  <c r="J30" i="3"/>
  <c r="H62" i="26"/>
  <c r="H66" i="26" s="1"/>
  <c r="M64" i="31" s="1"/>
  <c r="M65" i="31" s="1"/>
  <c r="G62" i="26"/>
  <c r="G66" i="26" s="1"/>
  <c r="Q49" i="30"/>
  <c r="F45" i="1"/>
  <c r="H28" i="3"/>
  <c r="I50" i="1"/>
  <c r="O57" i="44"/>
  <c r="O58" i="44" s="1"/>
  <c r="J45" i="1"/>
  <c r="V57" i="45"/>
  <c r="I49" i="1"/>
  <c r="P57" i="44"/>
  <c r="P58" i="44" s="1"/>
  <c r="V57" i="44"/>
  <c r="M57" i="44"/>
  <c r="M58" i="44" s="1"/>
  <c r="N57" i="44"/>
  <c r="N58" i="44" s="1"/>
  <c r="N59" i="28"/>
  <c r="N63" i="28" s="1"/>
  <c r="U26" i="28"/>
  <c r="R50" i="44"/>
  <c r="R52" i="44"/>
  <c r="U57" i="44"/>
  <c r="U58" i="44" s="1"/>
  <c r="R46" i="44"/>
  <c r="U46" i="32"/>
  <c r="K48" i="32"/>
  <c r="S48" i="32"/>
  <c r="N50" i="32"/>
  <c r="S56" i="32"/>
  <c r="S54" i="32"/>
  <c r="K56" i="32"/>
  <c r="U48" i="32"/>
  <c r="K52" i="32"/>
  <c r="R46" i="32"/>
  <c r="V50" i="32"/>
  <c r="K50" i="32"/>
  <c r="U56" i="32"/>
  <c r="U50" i="32"/>
  <c r="P54" i="32"/>
  <c r="N52" i="32"/>
  <c r="O46" i="32"/>
  <c r="H61" i="27"/>
  <c r="N54" i="32"/>
  <c r="N46" i="32"/>
  <c r="P50" i="32"/>
  <c r="P52" i="32"/>
  <c r="T54" i="32"/>
  <c r="T56" i="32"/>
  <c r="T46" i="32"/>
  <c r="T52" i="32"/>
  <c r="S50" i="32"/>
  <c r="T50" i="32"/>
  <c r="Q46" i="32"/>
  <c r="P56" i="32"/>
  <c r="V54" i="32"/>
  <c r="V56" i="32"/>
  <c r="V46" i="32"/>
  <c r="V48" i="32"/>
  <c r="V57" i="32"/>
  <c r="N56" i="32"/>
  <c r="Q52" i="32"/>
  <c r="U26" i="27"/>
  <c r="Q50" i="32"/>
  <c r="N62" i="31"/>
  <c r="R62" i="31"/>
  <c r="U27" i="26"/>
  <c r="S54" i="31"/>
  <c r="P48" i="31"/>
  <c r="G50" i="1"/>
  <c r="P56" i="31"/>
  <c r="R52" i="31"/>
  <c r="S48" i="31"/>
  <c r="P54" i="31"/>
  <c r="S46" i="31"/>
  <c r="O62" i="31"/>
  <c r="V50" i="31"/>
  <c r="R54" i="31"/>
  <c r="R50" i="31"/>
  <c r="S52" i="31"/>
  <c r="L52" i="31"/>
  <c r="S56" i="31"/>
  <c r="L56" i="31"/>
  <c r="R46" i="31"/>
  <c r="N49" i="30"/>
  <c r="N55" i="30"/>
  <c r="N53" i="30"/>
  <c r="T59" i="23"/>
  <c r="T61" i="23" s="1"/>
  <c r="R59" i="23"/>
  <c r="R61" i="23" s="1"/>
  <c r="S59" i="23"/>
  <c r="S61" i="23" s="1"/>
  <c r="P51" i="30"/>
  <c r="Q53" i="30"/>
  <c r="P45" i="30"/>
  <c r="O45" i="30"/>
  <c r="O51" i="30"/>
  <c r="P53" i="30"/>
  <c r="Q47" i="30"/>
  <c r="Q55" i="30"/>
  <c r="P55" i="30"/>
  <c r="Q45" i="30"/>
  <c r="O53" i="30"/>
  <c r="O55" i="30"/>
  <c r="M55" i="30"/>
  <c r="Q51" i="30"/>
  <c r="O56" i="30"/>
  <c r="O57" i="30" s="1"/>
  <c r="P49" i="30"/>
  <c r="M49" i="30"/>
  <c r="O49" i="30"/>
  <c r="M47" i="30"/>
  <c r="N45" i="30"/>
  <c r="M51" i="30"/>
  <c r="M53" i="30"/>
  <c r="O50" i="45"/>
  <c r="P50" i="45"/>
  <c r="U56" i="44"/>
  <c r="S54" i="44"/>
  <c r="T46" i="44"/>
  <c r="M59" i="28"/>
  <c r="S46" i="44"/>
  <c r="N57" i="45"/>
  <c r="N58" i="45" s="1"/>
  <c r="O54" i="45"/>
  <c r="T46" i="45"/>
  <c r="U46" i="45"/>
  <c r="U54" i="45"/>
  <c r="U50" i="45"/>
  <c r="Q50" i="45"/>
  <c r="S46" i="45"/>
  <c r="Q48" i="45"/>
  <c r="R48" i="45"/>
  <c r="M52" i="45"/>
  <c r="M54" i="45"/>
  <c r="M56" i="45"/>
  <c r="T56" i="44"/>
  <c r="K57" i="44"/>
  <c r="K58" i="44" s="1"/>
  <c r="T54" i="44"/>
  <c r="N46" i="44"/>
  <c r="R56" i="44"/>
  <c r="L59" i="28"/>
  <c r="M50" i="44"/>
  <c r="M52" i="44"/>
  <c r="R48" i="44"/>
  <c r="S52" i="44"/>
  <c r="S48" i="44"/>
  <c r="S50" i="44"/>
  <c r="O57" i="32"/>
  <c r="O58" i="32" s="1"/>
  <c r="N57" i="32"/>
  <c r="N58" i="32" s="1"/>
  <c r="N61" i="27"/>
  <c r="U59" i="27"/>
  <c r="P61" i="27"/>
  <c r="T52" i="44"/>
  <c r="T48" i="44"/>
  <c r="U46" i="44"/>
  <c r="V50" i="44"/>
  <c r="V52" i="44"/>
  <c r="V46" i="44"/>
  <c r="V56" i="44"/>
  <c r="V48" i="44"/>
  <c r="P50" i="44"/>
  <c r="M54" i="44"/>
  <c r="M56" i="44"/>
  <c r="O50" i="44"/>
  <c r="N50" i="44"/>
  <c r="Q50" i="44"/>
  <c r="Q57" i="44"/>
  <c r="Q58" i="44" s="1"/>
  <c r="O48" i="44"/>
  <c r="O54" i="44"/>
  <c r="O46" i="44"/>
  <c r="O56" i="44"/>
  <c r="Q54" i="44"/>
  <c r="Q46" i="44"/>
  <c r="Q56" i="44"/>
  <c r="P52" i="44"/>
  <c r="P48" i="44"/>
  <c r="P46" i="44"/>
  <c r="P56" i="44"/>
  <c r="P54" i="44"/>
  <c r="N56" i="44"/>
  <c r="N52" i="44"/>
  <c r="N54" i="44"/>
  <c r="N48" i="44"/>
  <c r="I44" i="1"/>
  <c r="Q56" i="32"/>
  <c r="Q48" i="32"/>
  <c r="O48" i="32"/>
  <c r="R54" i="32"/>
  <c r="P46" i="32"/>
  <c r="R56" i="32"/>
  <c r="O54" i="32"/>
  <c r="O52" i="32"/>
  <c r="O50" i="32"/>
  <c r="U54" i="32"/>
  <c r="U52" i="32"/>
  <c r="R52" i="32"/>
  <c r="O56" i="32"/>
  <c r="H50" i="1"/>
  <c r="S46" i="32"/>
  <c r="Q57" i="32"/>
  <c r="Q58" i="32" s="1"/>
  <c r="R48" i="32"/>
  <c r="R50" i="32"/>
  <c r="H44" i="1"/>
  <c r="R62" i="32"/>
  <c r="R57" i="32"/>
  <c r="R58" i="32" s="1"/>
  <c r="N56" i="30"/>
  <c r="N57" i="30" s="1"/>
  <c r="P61" i="30"/>
  <c r="P56" i="30"/>
  <c r="P57" i="30" s="1"/>
  <c r="P59" i="30"/>
  <c r="R56" i="31"/>
  <c r="N46" i="31"/>
  <c r="O52" i="31"/>
  <c r="V62" i="31"/>
  <c r="Q48" i="31"/>
  <c r="Q52" i="31"/>
  <c r="Q46" i="31"/>
  <c r="Q50" i="31"/>
  <c r="Q56" i="31"/>
  <c r="U46" i="31"/>
  <c r="U52" i="31"/>
  <c r="U50" i="31"/>
  <c r="U48" i="31"/>
  <c r="V46" i="31"/>
  <c r="U56" i="31"/>
  <c r="G49" i="1"/>
  <c r="U62" i="31"/>
  <c r="Q59" i="30"/>
  <c r="Q56" i="30"/>
  <c r="Q57" i="30" s="1"/>
  <c r="Q61" i="30"/>
  <c r="K87" i="30"/>
  <c r="S57" i="45"/>
  <c r="S58" i="45" s="1"/>
  <c r="L57" i="44"/>
  <c r="L58" i="44" s="1"/>
  <c r="T57" i="44"/>
  <c r="T58" i="44" s="1"/>
  <c r="R57" i="44"/>
  <c r="R58" i="44" s="1"/>
  <c r="H49" i="1"/>
  <c r="O61" i="27"/>
  <c r="T57" i="32"/>
  <c r="T58" i="32" s="1"/>
  <c r="K61" i="27"/>
  <c r="P57" i="32"/>
  <c r="P58" i="32" s="1"/>
  <c r="K48" i="31"/>
  <c r="K56" i="31"/>
  <c r="V56" i="31"/>
  <c r="O46" i="31"/>
  <c r="M56" i="31"/>
  <c r="N52" i="31"/>
  <c r="N56" i="31"/>
  <c r="T56" i="31"/>
  <c r="O54" i="31"/>
  <c r="T52" i="31"/>
  <c r="M48" i="31"/>
  <c r="L54" i="31"/>
  <c r="K54" i="31"/>
  <c r="T48" i="31"/>
  <c r="V52" i="31"/>
  <c r="T46" i="31"/>
  <c r="P46" i="31"/>
  <c r="L46" i="31"/>
  <c r="K52" i="31"/>
  <c r="O56" i="31"/>
  <c r="V48" i="31"/>
  <c r="M46" i="31"/>
  <c r="M52" i="31"/>
  <c r="O50" i="31"/>
  <c r="M62" i="31"/>
  <c r="T54" i="31"/>
  <c r="N50" i="31"/>
  <c r="K50" i="31"/>
  <c r="N48" i="31"/>
  <c r="G44" i="1"/>
  <c r="V54" i="31"/>
  <c r="L57" i="32"/>
  <c r="L58" i="32" s="1"/>
  <c r="M59" i="30"/>
  <c r="M56" i="30"/>
  <c r="M57" i="30" s="1"/>
  <c r="P57" i="45"/>
  <c r="P58" i="45" s="1"/>
  <c r="K56" i="45"/>
  <c r="P46" i="45"/>
  <c r="N46" i="45"/>
  <c r="N54" i="45"/>
  <c r="N52" i="45"/>
  <c r="K54" i="45"/>
  <c r="S48" i="45"/>
  <c r="N50" i="45"/>
  <c r="K48" i="45"/>
  <c r="L50" i="45"/>
  <c r="O46" i="45"/>
  <c r="K50" i="45"/>
  <c r="M46" i="45"/>
  <c r="Q52" i="45"/>
  <c r="Q54" i="45"/>
  <c r="Q56" i="45"/>
  <c r="P48" i="45"/>
  <c r="L54" i="45"/>
  <c r="M57" i="45"/>
  <c r="M58" i="45" s="1"/>
  <c r="R57" i="45"/>
  <c r="R58" i="45" s="1"/>
  <c r="Q46" i="45"/>
  <c r="S54" i="45"/>
  <c r="P56" i="45"/>
  <c r="V54" i="45"/>
  <c r="U57" i="45"/>
  <c r="U58" i="45" s="1"/>
  <c r="R52" i="45"/>
  <c r="R54" i="45"/>
  <c r="R46" i="45"/>
  <c r="N48" i="45"/>
  <c r="O57" i="45"/>
  <c r="O58" i="45" s="1"/>
  <c r="L46" i="45"/>
  <c r="L48" i="45"/>
  <c r="L52" i="45"/>
  <c r="L57" i="45"/>
  <c r="L58" i="45" s="1"/>
  <c r="J50" i="1"/>
  <c r="S52" i="45"/>
  <c r="P54" i="45"/>
  <c r="N56" i="45"/>
  <c r="R50" i="45"/>
  <c r="T56" i="45"/>
  <c r="T54" i="45"/>
  <c r="T48" i="45"/>
  <c r="T57" i="45"/>
  <c r="T58" i="45" s="1"/>
  <c r="T50" i="45"/>
  <c r="V48" i="45"/>
  <c r="V46" i="45"/>
  <c r="U56" i="45"/>
  <c r="V50" i="45"/>
  <c r="V56" i="45"/>
  <c r="V52" i="45"/>
  <c r="J44" i="1"/>
  <c r="I31" i="25"/>
  <c r="G50" i="37"/>
  <c r="H18" i="25"/>
  <c r="H19" i="25" s="1"/>
  <c r="M87" i="30" s="1"/>
  <c r="I16" i="25"/>
  <c r="K62" i="31"/>
  <c r="L63" i="28" l="1"/>
  <c r="Q64" i="44" s="1"/>
  <c r="Q65" i="44" s="1"/>
  <c r="T63" i="32"/>
  <c r="M65" i="27"/>
  <c r="R64" i="32" s="1"/>
  <c r="R65" i="32" s="1"/>
  <c r="I19" i="24"/>
  <c r="I51" i="24" s="1"/>
  <c r="M60" i="30"/>
  <c r="J27" i="25"/>
  <c r="I62" i="23"/>
  <c r="Q63" i="45"/>
  <c r="M20" i="38"/>
  <c r="M52" i="38" s="1"/>
  <c r="L63" i="44"/>
  <c r="T63" i="45"/>
  <c r="M20" i="37"/>
  <c r="U63" i="32"/>
  <c r="O65" i="27"/>
  <c r="L63" i="32"/>
  <c r="V63" i="32"/>
  <c r="G63" i="31" s="1"/>
  <c r="J20" i="37"/>
  <c r="J52" i="37" s="1"/>
  <c r="J65" i="27"/>
  <c r="O64" i="32" s="1"/>
  <c r="O65" i="32" s="1"/>
  <c r="O63" i="32"/>
  <c r="R63" i="32"/>
  <c r="I20" i="37"/>
  <c r="I52" i="37" s="1"/>
  <c r="H24" i="41" s="1"/>
  <c r="H25" i="41" s="1"/>
  <c r="M91" i="32" s="1"/>
  <c r="K63" i="32"/>
  <c r="I46" i="49"/>
  <c r="I47" i="49" s="1"/>
  <c r="F65" i="27"/>
  <c r="U64" i="27"/>
  <c r="H59" i="52" s="1"/>
  <c r="H46" i="49"/>
  <c r="H47" i="49" s="1"/>
  <c r="G46" i="50"/>
  <c r="G47" i="50" s="1"/>
  <c r="U53" i="38"/>
  <c r="U58" i="38" s="1"/>
  <c r="V21" i="39"/>
  <c r="BB49" i="2"/>
  <c r="T63" i="44"/>
  <c r="O63" i="28"/>
  <c r="H20" i="38"/>
  <c r="H52" i="38" s="1"/>
  <c r="G24" i="42" s="1"/>
  <c r="G25" i="42" s="1"/>
  <c r="L91" i="44" s="1"/>
  <c r="R63" i="44"/>
  <c r="Q63" i="28"/>
  <c r="V64" i="44" s="1"/>
  <c r="V65" i="44" s="1"/>
  <c r="R63" i="45"/>
  <c r="V63" i="45"/>
  <c r="V63" i="44"/>
  <c r="H63" i="31" s="1"/>
  <c r="G63" i="28"/>
  <c r="V62" i="44"/>
  <c r="H62" i="31" s="1"/>
  <c r="O20" i="37"/>
  <c r="O22" i="37" s="1"/>
  <c r="Q62" i="32"/>
  <c r="M62" i="32"/>
  <c r="G65" i="27"/>
  <c r="L64" i="32" s="1"/>
  <c r="L65" i="32" s="1"/>
  <c r="P63" i="32"/>
  <c r="O62" i="32"/>
  <c r="V62" i="32"/>
  <c r="G62" i="32" s="1"/>
  <c r="L65" i="27"/>
  <c r="Q64" i="32" s="1"/>
  <c r="Q65" i="32" s="1"/>
  <c r="K65" i="27"/>
  <c r="P64" i="32" s="1"/>
  <c r="P65" i="32" s="1"/>
  <c r="T53" i="37"/>
  <c r="T57" i="37" s="1"/>
  <c r="S64" i="23"/>
  <c r="T20" i="24" s="1"/>
  <c r="M20" i="33"/>
  <c r="Q63" i="31"/>
  <c r="J52" i="33"/>
  <c r="H52" i="33"/>
  <c r="G24" i="40" s="1"/>
  <c r="G25" i="40" s="1"/>
  <c r="L91" i="31" s="1"/>
  <c r="L20" i="33"/>
  <c r="P63" i="31"/>
  <c r="N52" i="33"/>
  <c r="T64" i="23"/>
  <c r="U20" i="24" s="1"/>
  <c r="F63" i="44"/>
  <c r="F63" i="31"/>
  <c r="F63" i="32"/>
  <c r="F63" i="45"/>
  <c r="F62" i="30"/>
  <c r="Q52" i="33"/>
  <c r="K52" i="33"/>
  <c r="R52" i="33"/>
  <c r="U65" i="26"/>
  <c r="P20" i="33"/>
  <c r="T63" i="31"/>
  <c r="R64" i="23"/>
  <c r="S20" i="24" s="1"/>
  <c r="I52" i="33"/>
  <c r="H24" i="40" s="1"/>
  <c r="H25" i="40" s="1"/>
  <c r="M91" i="31" s="1"/>
  <c r="O52" i="33"/>
  <c r="G52" i="33"/>
  <c r="F24" i="40" s="1"/>
  <c r="F25" i="40" s="1"/>
  <c r="L20" i="24"/>
  <c r="P62" i="30"/>
  <c r="K20" i="24"/>
  <c r="O62" i="30"/>
  <c r="K65" i="23"/>
  <c r="P63" i="30" s="1"/>
  <c r="P64" i="30" s="1"/>
  <c r="M20" i="24"/>
  <c r="Q62" i="30"/>
  <c r="I20" i="24"/>
  <c r="M62" i="30"/>
  <c r="J20" i="24"/>
  <c r="N62" i="30"/>
  <c r="R52" i="39"/>
  <c r="R22" i="39"/>
  <c r="Q52" i="39"/>
  <c r="Q22" i="39"/>
  <c r="P52" i="39"/>
  <c r="P22" i="39"/>
  <c r="O52" i="39"/>
  <c r="O22" i="39"/>
  <c r="N52" i="39"/>
  <c r="N22" i="39"/>
  <c r="M52" i="39"/>
  <c r="M22" i="39"/>
  <c r="L52" i="39"/>
  <c r="L22" i="39"/>
  <c r="K52" i="39"/>
  <c r="K22" i="39"/>
  <c r="J52" i="39"/>
  <c r="J22" i="39"/>
  <c r="I52" i="39"/>
  <c r="I22" i="39"/>
  <c r="H52" i="39"/>
  <c r="H22" i="39"/>
  <c r="T53" i="38"/>
  <c r="T60" i="38" s="1"/>
  <c r="S52" i="38"/>
  <c r="R24" i="42" s="1"/>
  <c r="R25" i="42" s="1"/>
  <c r="S22" i="38"/>
  <c r="G20" i="39"/>
  <c r="K63" i="45"/>
  <c r="U62" i="29"/>
  <c r="S53" i="37"/>
  <c r="S58" i="37" s="1"/>
  <c r="U53" i="37"/>
  <c r="I63" i="32"/>
  <c r="I63" i="31"/>
  <c r="I63" i="44"/>
  <c r="I62" i="30"/>
  <c r="I63" i="45"/>
  <c r="R52" i="38"/>
  <c r="R22" i="38"/>
  <c r="U62" i="44"/>
  <c r="P62" i="28"/>
  <c r="O52" i="38"/>
  <c r="O22" i="38"/>
  <c r="P52" i="38"/>
  <c r="P22" i="38"/>
  <c r="N52" i="38"/>
  <c r="N22" i="38"/>
  <c r="P62" i="44"/>
  <c r="K62" i="28"/>
  <c r="J62" i="28"/>
  <c r="N62" i="44"/>
  <c r="I62" i="28"/>
  <c r="I63" i="28" s="1"/>
  <c r="N64" i="44" s="1"/>
  <c r="N65" i="44" s="1"/>
  <c r="M62" i="44"/>
  <c r="H62" i="28"/>
  <c r="G20" i="38"/>
  <c r="K63" i="44"/>
  <c r="G63" i="32"/>
  <c r="R52" i="37"/>
  <c r="R22" i="37"/>
  <c r="Q52" i="37"/>
  <c r="Q22" i="37"/>
  <c r="P52" i="37"/>
  <c r="P22" i="37"/>
  <c r="N52" i="37"/>
  <c r="L52" i="37"/>
  <c r="K52" i="37"/>
  <c r="H52" i="37"/>
  <c r="G24" i="41" s="1"/>
  <c r="G25" i="41" s="1"/>
  <c r="L91" i="32" s="1"/>
  <c r="G52" i="37"/>
  <c r="F24" i="41" s="1"/>
  <c r="F25" i="41" s="1"/>
  <c r="I46" i="31"/>
  <c r="I46" i="45"/>
  <c r="I45" i="30"/>
  <c r="I46" i="32"/>
  <c r="I46" i="44"/>
  <c r="U57" i="38"/>
  <c r="I48" i="32"/>
  <c r="I48" i="31"/>
  <c r="I48" i="45"/>
  <c r="I48" i="44"/>
  <c r="I47" i="30"/>
  <c r="I52" i="32"/>
  <c r="I51" i="30"/>
  <c r="I52" i="44"/>
  <c r="I52" i="31"/>
  <c r="I52" i="45"/>
  <c r="I56" i="32"/>
  <c r="I56" i="31"/>
  <c r="I56" i="44"/>
  <c r="I56" i="45"/>
  <c r="I55" i="30"/>
  <c r="I49" i="30"/>
  <c r="I50" i="44"/>
  <c r="I50" i="31"/>
  <c r="I50" i="45"/>
  <c r="I50" i="32"/>
  <c r="I54" i="45"/>
  <c r="I53" i="30"/>
  <c r="I54" i="32"/>
  <c r="I54" i="44"/>
  <c r="I54" i="31"/>
  <c r="V58" i="45"/>
  <c r="I56" i="30"/>
  <c r="I57" i="44"/>
  <c r="I57" i="31"/>
  <c r="I57" i="45"/>
  <c r="I57" i="32"/>
  <c r="I60" i="32"/>
  <c r="I59" i="30"/>
  <c r="I60" i="44"/>
  <c r="I60" i="31"/>
  <c r="I60" i="45"/>
  <c r="H55" i="30"/>
  <c r="H56" i="44"/>
  <c r="H56" i="31"/>
  <c r="H56" i="45"/>
  <c r="H56" i="32"/>
  <c r="H46" i="44"/>
  <c r="H46" i="31"/>
  <c r="H46" i="45"/>
  <c r="H46" i="32"/>
  <c r="H45" i="30"/>
  <c r="V58" i="44"/>
  <c r="H57" i="32"/>
  <c r="H56" i="30"/>
  <c r="H57" i="45"/>
  <c r="H57" i="44"/>
  <c r="H57" i="31"/>
  <c r="H52" i="45"/>
  <c r="H52" i="31"/>
  <c r="H52" i="32"/>
  <c r="H51" i="30"/>
  <c r="H52" i="44"/>
  <c r="H62" i="32"/>
  <c r="H61" i="30"/>
  <c r="H53" i="30"/>
  <c r="H54" i="31"/>
  <c r="H54" i="45"/>
  <c r="H54" i="32"/>
  <c r="H54" i="44"/>
  <c r="H50" i="32"/>
  <c r="H50" i="45"/>
  <c r="H49" i="30"/>
  <c r="H50" i="44"/>
  <c r="H50" i="31"/>
  <c r="H47" i="30"/>
  <c r="H48" i="44"/>
  <c r="H48" i="32"/>
  <c r="H48" i="31"/>
  <c r="H48" i="45"/>
  <c r="G47" i="30"/>
  <c r="G48" i="44"/>
  <c r="G48" i="31"/>
  <c r="G48" i="45"/>
  <c r="G48" i="32"/>
  <c r="G60" i="31"/>
  <c r="G60" i="45"/>
  <c r="G60" i="32"/>
  <c r="G59" i="30"/>
  <c r="G60" i="44"/>
  <c r="V58" i="32"/>
  <c r="G57" i="32"/>
  <c r="G56" i="30"/>
  <c r="G57" i="44"/>
  <c r="G57" i="31"/>
  <c r="G57" i="45"/>
  <c r="G50" i="32"/>
  <c r="G49" i="30"/>
  <c r="G50" i="44"/>
  <c r="G50" i="31"/>
  <c r="G50" i="45"/>
  <c r="G46" i="44"/>
  <c r="G46" i="31"/>
  <c r="G46" i="45"/>
  <c r="G46" i="32"/>
  <c r="G45" i="30"/>
  <c r="G55" i="30"/>
  <c r="G56" i="44"/>
  <c r="G56" i="31"/>
  <c r="G56" i="32"/>
  <c r="G56" i="45"/>
  <c r="G54" i="44"/>
  <c r="G54" i="31"/>
  <c r="G54" i="45"/>
  <c r="G54" i="32"/>
  <c r="G53" i="30"/>
  <c r="G52" i="31"/>
  <c r="G52" i="45"/>
  <c r="G52" i="32"/>
  <c r="G51" i="30"/>
  <c r="G52" i="44"/>
  <c r="F53" i="30"/>
  <c r="F54" i="44"/>
  <c r="F54" i="31"/>
  <c r="F54" i="45"/>
  <c r="F54" i="32"/>
  <c r="F52" i="45"/>
  <c r="F52" i="32"/>
  <c r="F52" i="44"/>
  <c r="F51" i="30"/>
  <c r="F52" i="31"/>
  <c r="F45" i="30"/>
  <c r="F46" i="44"/>
  <c r="F46" i="31"/>
  <c r="F46" i="45"/>
  <c r="F46" i="32"/>
  <c r="F56" i="32"/>
  <c r="F56" i="44"/>
  <c r="F55" i="30"/>
  <c r="F56" i="31"/>
  <c r="F56" i="45"/>
  <c r="F48" i="32"/>
  <c r="F48" i="44"/>
  <c r="F47" i="30"/>
  <c r="F48" i="31"/>
  <c r="F48" i="45"/>
  <c r="F50" i="45"/>
  <c r="F50" i="32"/>
  <c r="F50" i="31"/>
  <c r="F49" i="30"/>
  <c r="F50" i="44"/>
  <c r="F61" i="30"/>
  <c r="F62" i="44"/>
  <c r="F62" i="31"/>
  <c r="F62" i="45"/>
  <c r="F62" i="32"/>
  <c r="V65" i="31"/>
  <c r="F64" i="32"/>
  <c r="F64" i="44"/>
  <c r="F64" i="31"/>
  <c r="F64" i="45"/>
  <c r="F63" i="30"/>
  <c r="K60" i="32"/>
  <c r="I53" i="51"/>
  <c r="I54" i="51" s="1"/>
  <c r="H53" i="51"/>
  <c r="I53" i="52"/>
  <c r="I54" i="52" s="1"/>
  <c r="H53" i="52"/>
  <c r="H46" i="52"/>
  <c r="H47" i="52" s="1"/>
  <c r="H46" i="51"/>
  <c r="H47" i="51" s="1"/>
  <c r="G46" i="51"/>
  <c r="G47" i="51" s="1"/>
  <c r="G46" i="52"/>
  <c r="G47" i="52" s="1"/>
  <c r="I46" i="52"/>
  <c r="I47" i="52" s="1"/>
  <c r="P31" i="3"/>
  <c r="J53" i="50"/>
  <c r="J54" i="50" s="1"/>
  <c r="J53" i="52"/>
  <c r="J54" i="52" s="1"/>
  <c r="K53" i="49"/>
  <c r="K54" i="49" s="1"/>
  <c r="J53" i="51"/>
  <c r="J54" i="51" s="1"/>
  <c r="J46" i="50"/>
  <c r="J47" i="50" s="1"/>
  <c r="J46" i="51"/>
  <c r="J47" i="51" s="1"/>
  <c r="J46" i="52"/>
  <c r="J47" i="52" s="1"/>
  <c r="H46" i="50"/>
  <c r="H47" i="50" s="1"/>
  <c r="L31" i="3"/>
  <c r="I53" i="50"/>
  <c r="I54" i="50" s="1"/>
  <c r="H53" i="50"/>
  <c r="I53" i="49"/>
  <c r="J53" i="49"/>
  <c r="J54" i="49" s="1"/>
  <c r="F17" i="23"/>
  <c r="G12" i="24"/>
  <c r="G11" i="24" s="1"/>
  <c r="U64" i="26"/>
  <c r="K60" i="31"/>
  <c r="P62" i="31"/>
  <c r="O62" i="44"/>
  <c r="U59" i="29"/>
  <c r="U61" i="29"/>
  <c r="K60" i="45"/>
  <c r="R63" i="28"/>
  <c r="V60" i="44"/>
  <c r="H63" i="28"/>
  <c r="M64" i="44" s="1"/>
  <c r="M65" i="44" s="1"/>
  <c r="N29" i="3"/>
  <c r="P63" i="28"/>
  <c r="U64" i="44" s="1"/>
  <c r="U65" i="44" s="1"/>
  <c r="F63" i="28"/>
  <c r="K63" i="28"/>
  <c r="P64" i="44" s="1"/>
  <c r="P65" i="44" s="1"/>
  <c r="L29" i="3"/>
  <c r="K66" i="26"/>
  <c r="P64" i="31" s="1"/>
  <c r="P65" i="31" s="1"/>
  <c r="J29" i="3"/>
  <c r="O66" i="26"/>
  <c r="T64" i="31" s="1"/>
  <c r="T65" i="31" s="1"/>
  <c r="L66" i="26"/>
  <c r="U60" i="45"/>
  <c r="I46" i="1"/>
  <c r="I47" i="1" s="1"/>
  <c r="L63" i="29"/>
  <c r="Q64" i="45" s="1"/>
  <c r="Q65" i="45" s="1"/>
  <c r="Q62" i="45"/>
  <c r="S60" i="45"/>
  <c r="P63" i="29"/>
  <c r="U64" i="45" s="1"/>
  <c r="U65" i="45" s="1"/>
  <c r="U62" i="45"/>
  <c r="N63" i="29"/>
  <c r="S64" i="45" s="1"/>
  <c r="S65" i="45" s="1"/>
  <c r="S62" i="45"/>
  <c r="J46" i="1"/>
  <c r="J47" i="1" s="1"/>
  <c r="U57" i="28"/>
  <c r="S57" i="44"/>
  <c r="S58" i="44" s="1"/>
  <c r="H65" i="27"/>
  <c r="M64" i="32" s="1"/>
  <c r="M65" i="32" s="1"/>
  <c r="M60" i="32"/>
  <c r="G46" i="1"/>
  <c r="G47" i="1" s="1"/>
  <c r="U59" i="28"/>
  <c r="I56" i="52" s="1"/>
  <c r="Q60" i="44"/>
  <c r="Q62" i="44"/>
  <c r="Q65" i="27"/>
  <c r="V64" i="32" s="1"/>
  <c r="S60" i="32"/>
  <c r="U60" i="32"/>
  <c r="U61" i="27"/>
  <c r="I65" i="27"/>
  <c r="N64" i="32" s="1"/>
  <c r="N65" i="32" s="1"/>
  <c r="N62" i="32"/>
  <c r="H46" i="1"/>
  <c r="H47" i="1" s="1"/>
  <c r="U62" i="26"/>
  <c r="L60" i="44"/>
  <c r="R60" i="44"/>
  <c r="T60" i="44"/>
  <c r="S60" i="44"/>
  <c r="P60" i="32"/>
  <c r="T60" i="32"/>
  <c r="L60" i="32"/>
  <c r="G63" i="29"/>
  <c r="L60" i="45"/>
  <c r="H63" i="29"/>
  <c r="M60" i="45"/>
  <c r="M63" i="29"/>
  <c r="R60" i="45"/>
  <c r="J63" i="29"/>
  <c r="O60" i="45"/>
  <c r="K63" i="29"/>
  <c r="P60" i="45"/>
  <c r="O63" i="29"/>
  <c r="T60" i="45"/>
  <c r="T64" i="32"/>
  <c r="T65" i="32" s="1"/>
  <c r="T62" i="32"/>
  <c r="L62" i="32"/>
  <c r="P62" i="32"/>
  <c r="J31" i="25"/>
  <c r="Q62" i="31"/>
  <c r="T62" i="31"/>
  <c r="J16" i="25"/>
  <c r="I18" i="25"/>
  <c r="I19" i="25" s="1"/>
  <c r="J53" i="1"/>
  <c r="J54" i="1" s="1"/>
  <c r="H53" i="1"/>
  <c r="I53" i="1"/>
  <c r="I54" i="1" s="1"/>
  <c r="K62" i="44"/>
  <c r="K62" i="32"/>
  <c r="H64" i="45" l="1"/>
  <c r="H64" i="31"/>
  <c r="H64" i="32"/>
  <c r="H63" i="30"/>
  <c r="H62" i="30"/>
  <c r="J19" i="24"/>
  <c r="J51" i="24" s="1"/>
  <c r="N60" i="30"/>
  <c r="K27" i="25"/>
  <c r="J62" i="23"/>
  <c r="O90" i="30"/>
  <c r="H62" i="45"/>
  <c r="H22" i="38"/>
  <c r="H23" i="38" s="1"/>
  <c r="H62" i="44"/>
  <c r="M22" i="38"/>
  <c r="M23" i="38" s="1"/>
  <c r="U60" i="38"/>
  <c r="G62" i="31"/>
  <c r="G63" i="44"/>
  <c r="G62" i="30"/>
  <c r="G61" i="30"/>
  <c r="M52" i="37"/>
  <c r="O52" i="37"/>
  <c r="N24" i="41" s="1"/>
  <c r="N25" i="41" s="1"/>
  <c r="S91" i="32" s="1"/>
  <c r="G63" i="45"/>
  <c r="G62" i="45"/>
  <c r="G62" i="44"/>
  <c r="H59" i="1"/>
  <c r="I59" i="49"/>
  <c r="H59" i="51"/>
  <c r="H59" i="50"/>
  <c r="Q23" i="39"/>
  <c r="U8" i="45" s="1"/>
  <c r="BK50" i="2"/>
  <c r="R23" i="39"/>
  <c r="R56" i="39" s="1"/>
  <c r="BL50" i="2"/>
  <c r="I23" i="39"/>
  <c r="I24" i="39" s="1"/>
  <c r="U24" i="38" s="1"/>
  <c r="BC50" i="2"/>
  <c r="J23" i="39"/>
  <c r="J24" i="39" s="1"/>
  <c r="BD50" i="2"/>
  <c r="K23" i="39"/>
  <c r="K44" i="39" s="1"/>
  <c r="BE50" i="2"/>
  <c r="O23" i="39"/>
  <c r="O44" i="39" s="1"/>
  <c r="BI50" i="2"/>
  <c r="N23" i="39"/>
  <c r="N56" i="39" s="1"/>
  <c r="BH50" i="2"/>
  <c r="M23" i="39"/>
  <c r="M56" i="39" s="1"/>
  <c r="BG50" i="2"/>
  <c r="H23" i="39"/>
  <c r="H56" i="39" s="1"/>
  <c r="BB50" i="2"/>
  <c r="L23" i="39"/>
  <c r="P8" i="45" s="1"/>
  <c r="BF50" i="2"/>
  <c r="P23" i="39"/>
  <c r="P44" i="39" s="1"/>
  <c r="BJ50" i="2"/>
  <c r="H64" i="44"/>
  <c r="O23" i="38"/>
  <c r="S16" i="44" s="1"/>
  <c r="AW50" i="2"/>
  <c r="H63" i="45"/>
  <c r="S57" i="37"/>
  <c r="H63" i="44"/>
  <c r="N23" i="38"/>
  <c r="R16" i="44" s="1"/>
  <c r="AV50" i="2"/>
  <c r="R23" i="38"/>
  <c r="R24" i="38" s="1"/>
  <c r="AZ50" i="2"/>
  <c r="H63" i="32"/>
  <c r="P23" i="38"/>
  <c r="T8" i="44" s="1"/>
  <c r="AX50" i="2"/>
  <c r="O23" i="37"/>
  <c r="O44" i="37" s="1"/>
  <c r="AK50" i="2"/>
  <c r="R23" i="37"/>
  <c r="R24" i="37" s="1"/>
  <c r="AN50" i="2"/>
  <c r="Q23" i="37"/>
  <c r="U8" i="32" s="1"/>
  <c r="AM50" i="2"/>
  <c r="P23" i="37"/>
  <c r="P24" i="37" s="1"/>
  <c r="AL50" i="2"/>
  <c r="F26" i="23"/>
  <c r="K48" i="30" s="1"/>
  <c r="E42" i="2"/>
  <c r="S53" i="38"/>
  <c r="S57" i="38" s="1"/>
  <c r="S60" i="37"/>
  <c r="T60" i="37"/>
  <c r="T58" i="37"/>
  <c r="S52" i="24"/>
  <c r="R24" i="25" s="1"/>
  <c r="R25" i="25" s="1"/>
  <c r="J24" i="40"/>
  <c r="J25" i="40" s="1"/>
  <c r="O91" i="31" s="1"/>
  <c r="U52" i="24"/>
  <c r="T24" i="25" s="1"/>
  <c r="T25" i="25" s="1"/>
  <c r="N24" i="40"/>
  <c r="N25" i="40" s="1"/>
  <c r="S91" i="31" s="1"/>
  <c r="R65" i="23"/>
  <c r="T65" i="23"/>
  <c r="I24" i="40"/>
  <c r="I25" i="40" s="1"/>
  <c r="N91" i="31" s="1"/>
  <c r="P24" i="40"/>
  <c r="P25" i="40" s="1"/>
  <c r="U91" i="31" s="1"/>
  <c r="G59" i="52"/>
  <c r="H59" i="49"/>
  <c r="G59" i="1"/>
  <c r="G59" i="50"/>
  <c r="G59" i="51"/>
  <c r="L52" i="33"/>
  <c r="Q24" i="40"/>
  <c r="Q25" i="40" s="1"/>
  <c r="V91" i="31" s="1"/>
  <c r="P52" i="33"/>
  <c r="M24" i="40"/>
  <c r="M25" i="40" s="1"/>
  <c r="R91" i="31" s="1"/>
  <c r="M52" i="33"/>
  <c r="T52" i="24"/>
  <c r="S24" i="25" s="1"/>
  <c r="S25" i="25" s="1"/>
  <c r="S65" i="23"/>
  <c r="M52" i="24"/>
  <c r="J52" i="24"/>
  <c r="K52" i="24"/>
  <c r="I52" i="24"/>
  <c r="I22" i="24"/>
  <c r="L52" i="24"/>
  <c r="T58" i="38"/>
  <c r="R24" i="39"/>
  <c r="R44" i="39"/>
  <c r="Q24" i="43"/>
  <c r="R53" i="39"/>
  <c r="P24" i="43"/>
  <c r="Q53" i="39"/>
  <c r="O24" i="43"/>
  <c r="P53" i="39"/>
  <c r="S16" i="45"/>
  <c r="S8" i="45"/>
  <c r="O24" i="39"/>
  <c r="N24" i="43"/>
  <c r="O53" i="39"/>
  <c r="N24" i="39"/>
  <c r="M24" i="43"/>
  <c r="M25" i="43" s="1"/>
  <c r="R91" i="45" s="1"/>
  <c r="N53" i="39"/>
  <c r="L24" i="43"/>
  <c r="L25" i="43" s="1"/>
  <c r="Q91" i="45" s="1"/>
  <c r="M53" i="39"/>
  <c r="L44" i="39"/>
  <c r="P16" i="45"/>
  <c r="L24" i="39"/>
  <c r="K24" i="43"/>
  <c r="K25" i="43" s="1"/>
  <c r="P91" i="45" s="1"/>
  <c r="L53" i="39"/>
  <c r="J24" i="43"/>
  <c r="J25" i="43" s="1"/>
  <c r="O91" i="45" s="1"/>
  <c r="K53" i="39"/>
  <c r="I24" i="43"/>
  <c r="I25" i="43" s="1"/>
  <c r="N91" i="45" s="1"/>
  <c r="J53" i="39"/>
  <c r="H24" i="43"/>
  <c r="H25" i="43" s="1"/>
  <c r="M91" i="45" s="1"/>
  <c r="I53" i="39"/>
  <c r="I44" i="39"/>
  <c r="M8" i="45"/>
  <c r="T57" i="38"/>
  <c r="G24" i="43"/>
  <c r="G25" i="43" s="1"/>
  <c r="L91" i="45" s="1"/>
  <c r="H53" i="39"/>
  <c r="J59" i="1"/>
  <c r="J59" i="52"/>
  <c r="J59" i="51"/>
  <c r="K59" i="49"/>
  <c r="J59" i="50"/>
  <c r="P32" i="3"/>
  <c r="G52" i="39"/>
  <c r="G22" i="39"/>
  <c r="BA50" i="2" s="1"/>
  <c r="U60" i="37"/>
  <c r="U57" i="37"/>
  <c r="U58" i="37"/>
  <c r="Q24" i="42"/>
  <c r="Q25" i="42" s="1"/>
  <c r="V91" i="44" s="1"/>
  <c r="R53" i="38"/>
  <c r="N24" i="42"/>
  <c r="N25" i="42" s="1"/>
  <c r="S91" i="44" s="1"/>
  <c r="O53" i="38"/>
  <c r="Q20" i="38"/>
  <c r="U63" i="44"/>
  <c r="U63" i="45"/>
  <c r="U62" i="28"/>
  <c r="N32" i="3" s="1"/>
  <c r="O24" i="42"/>
  <c r="O25" i="42" s="1"/>
  <c r="T91" i="44" s="1"/>
  <c r="P53" i="38"/>
  <c r="O56" i="38"/>
  <c r="O44" i="38"/>
  <c r="O24" i="38"/>
  <c r="M24" i="42"/>
  <c r="M25" i="42" s="1"/>
  <c r="R91" i="44" s="1"/>
  <c r="N53" i="38"/>
  <c r="L24" i="42"/>
  <c r="L25" i="42" s="1"/>
  <c r="Q91" i="44" s="1"/>
  <c r="M53" i="38"/>
  <c r="L20" i="38"/>
  <c r="P63" i="45"/>
  <c r="P63" i="44"/>
  <c r="K20" i="38"/>
  <c r="O63" i="45"/>
  <c r="O63" i="44"/>
  <c r="J63" i="28"/>
  <c r="O64" i="44" s="1"/>
  <c r="O65" i="44" s="1"/>
  <c r="J20" i="38"/>
  <c r="N63" i="45"/>
  <c r="N63" i="44"/>
  <c r="I20" i="38"/>
  <c r="M63" i="45"/>
  <c r="M63" i="44"/>
  <c r="H53" i="38"/>
  <c r="G52" i="38"/>
  <c r="G22" i="38"/>
  <c r="AO50" i="2" s="1"/>
  <c r="Q24" i="41"/>
  <c r="Q25" i="41" s="1"/>
  <c r="V91" i="32" s="1"/>
  <c r="R53" i="37"/>
  <c r="P24" i="41"/>
  <c r="P25" i="41" s="1"/>
  <c r="U91" i="32" s="1"/>
  <c r="Q53" i="37"/>
  <c r="O24" i="41"/>
  <c r="O25" i="41" s="1"/>
  <c r="T91" i="32" s="1"/>
  <c r="P53" i="37"/>
  <c r="M24" i="41"/>
  <c r="M25" i="41" s="1"/>
  <c r="R91" i="32" s="1"/>
  <c r="K24" i="41"/>
  <c r="K25" i="41" s="1"/>
  <c r="P91" i="32" s="1"/>
  <c r="J24" i="41"/>
  <c r="J25" i="41" s="1"/>
  <c r="O91" i="32" s="1"/>
  <c r="I24" i="41"/>
  <c r="I25" i="41" s="1"/>
  <c r="N91" i="32" s="1"/>
  <c r="K91" i="32"/>
  <c r="I57" i="30"/>
  <c r="I58" i="44"/>
  <c r="I58" i="45"/>
  <c r="I58" i="31"/>
  <c r="I58" i="32"/>
  <c r="H65" i="45"/>
  <c r="H65" i="32"/>
  <c r="H64" i="30"/>
  <c r="H65" i="44"/>
  <c r="H65" i="31"/>
  <c r="H58" i="32"/>
  <c r="H57" i="30"/>
  <c r="H58" i="44"/>
  <c r="H58" i="31"/>
  <c r="H58" i="45"/>
  <c r="H60" i="45"/>
  <c r="H60" i="31"/>
  <c r="H60" i="32"/>
  <c r="H59" i="30"/>
  <c r="H60" i="44"/>
  <c r="V65" i="32"/>
  <c r="G63" i="30"/>
  <c r="G64" i="44"/>
  <c r="G64" i="31"/>
  <c r="G64" i="45"/>
  <c r="G64" i="32"/>
  <c r="G58" i="32"/>
  <c r="G57" i="30"/>
  <c r="G58" i="44"/>
  <c r="G58" i="45"/>
  <c r="G58" i="31"/>
  <c r="F65" i="32"/>
  <c r="F64" i="30"/>
  <c r="F65" i="44"/>
  <c r="F65" i="31"/>
  <c r="F65" i="45"/>
  <c r="H56" i="52"/>
  <c r="H56" i="51"/>
  <c r="H56" i="49"/>
  <c r="G56" i="50"/>
  <c r="G56" i="52"/>
  <c r="G56" i="51"/>
  <c r="G58" i="50"/>
  <c r="G58" i="52"/>
  <c r="G58" i="51"/>
  <c r="K44" i="30"/>
  <c r="K47" i="30" s="1"/>
  <c r="F59" i="23"/>
  <c r="F61" i="23" s="1"/>
  <c r="F63" i="23"/>
  <c r="J58" i="50"/>
  <c r="J58" i="51"/>
  <c r="J58" i="52"/>
  <c r="K58" i="49"/>
  <c r="J56" i="52"/>
  <c r="J56" i="50"/>
  <c r="K56" i="49"/>
  <c r="J56" i="51"/>
  <c r="I56" i="1"/>
  <c r="I56" i="51"/>
  <c r="I56" i="50"/>
  <c r="J56" i="49"/>
  <c r="I56" i="49"/>
  <c r="H56" i="50"/>
  <c r="J33" i="3"/>
  <c r="H58" i="49"/>
  <c r="G48" i="24"/>
  <c r="G50" i="24" s="1"/>
  <c r="K5" i="30"/>
  <c r="G21" i="24"/>
  <c r="E49" i="2" s="1"/>
  <c r="N31" i="3"/>
  <c r="Q63" i="29"/>
  <c r="V64" i="45" s="1"/>
  <c r="V62" i="45"/>
  <c r="I63" i="29"/>
  <c r="N64" i="45" s="1"/>
  <c r="N65" i="45" s="1"/>
  <c r="N62" i="45"/>
  <c r="K62" i="45"/>
  <c r="F63" i="29"/>
  <c r="M63" i="28"/>
  <c r="U61" i="28"/>
  <c r="I58" i="52" s="1"/>
  <c r="N65" i="27"/>
  <c r="S64" i="32" s="1"/>
  <c r="S65" i="32" s="1"/>
  <c r="S62" i="32"/>
  <c r="P65" i="27"/>
  <c r="U62" i="32"/>
  <c r="U63" i="27"/>
  <c r="U60" i="26"/>
  <c r="K57" i="31"/>
  <c r="K58" i="31" s="1"/>
  <c r="Q64" i="31"/>
  <c r="Q65" i="31" s="1"/>
  <c r="N87" i="30"/>
  <c r="R62" i="44"/>
  <c r="S64" i="44"/>
  <c r="S65" i="44" s="1"/>
  <c r="S62" i="44"/>
  <c r="L64" i="44"/>
  <c r="L65" i="44" s="1"/>
  <c r="L62" i="44"/>
  <c r="T64" i="44"/>
  <c r="T65" i="44" s="1"/>
  <c r="T62" i="44"/>
  <c r="S64" i="31"/>
  <c r="S65" i="31" s="1"/>
  <c r="S62" i="31"/>
  <c r="L64" i="45"/>
  <c r="L65" i="45" s="1"/>
  <c r="L62" i="45"/>
  <c r="O64" i="45"/>
  <c r="O65" i="45" s="1"/>
  <c r="O62" i="45"/>
  <c r="R64" i="45"/>
  <c r="R65" i="45" s="1"/>
  <c r="R62" i="45"/>
  <c r="P64" i="45"/>
  <c r="P65" i="45" s="1"/>
  <c r="P62" i="45"/>
  <c r="M64" i="45"/>
  <c r="M65" i="45" s="1"/>
  <c r="M62" i="45"/>
  <c r="T64" i="45"/>
  <c r="T65" i="45" s="1"/>
  <c r="T62" i="45"/>
  <c r="K31" i="25"/>
  <c r="K64" i="31"/>
  <c r="K65" i="31" s="1"/>
  <c r="K16" i="25"/>
  <c r="J18" i="25"/>
  <c r="J19" i="25" s="1"/>
  <c r="J56" i="1"/>
  <c r="H56" i="1"/>
  <c r="P33" i="3"/>
  <c r="M44" i="39" l="1"/>
  <c r="Q17" i="45" s="1"/>
  <c r="R8" i="45"/>
  <c r="J44" i="39"/>
  <c r="N17" i="45" s="1"/>
  <c r="Q8" i="45"/>
  <c r="R16" i="45"/>
  <c r="T16" i="45"/>
  <c r="I56" i="39"/>
  <c r="J56" i="39"/>
  <c r="Q16" i="45"/>
  <c r="N44" i="39"/>
  <c r="BH51" i="2" s="1"/>
  <c r="N16" i="45"/>
  <c r="M24" i="39"/>
  <c r="U23" i="38"/>
  <c r="N8" i="45"/>
  <c r="AU50" i="2"/>
  <c r="N44" i="38"/>
  <c r="R17" i="44" s="1"/>
  <c r="N24" i="38"/>
  <c r="N56" i="38"/>
  <c r="R8" i="44"/>
  <c r="S8" i="44"/>
  <c r="P24" i="39"/>
  <c r="J22" i="24"/>
  <c r="K19" i="24"/>
  <c r="O60" i="30"/>
  <c r="L27" i="25"/>
  <c r="K62" i="23"/>
  <c r="P90" i="30"/>
  <c r="Q8" i="44"/>
  <c r="Q16" i="44"/>
  <c r="L8" i="44"/>
  <c r="L16" i="44"/>
  <c r="T23" i="37"/>
  <c r="T44" i="37" s="1"/>
  <c r="H24" i="38"/>
  <c r="T24" i="37" s="1"/>
  <c r="H56" i="38"/>
  <c r="P56" i="38"/>
  <c r="V16" i="44"/>
  <c r="H16" i="45" s="1"/>
  <c r="V8" i="44"/>
  <c r="R56" i="38"/>
  <c r="AP50" i="2"/>
  <c r="S60" i="38"/>
  <c r="S58" i="38"/>
  <c r="M16" i="45"/>
  <c r="T8" i="45"/>
  <c r="O16" i="45"/>
  <c r="P56" i="39"/>
  <c r="H44" i="39"/>
  <c r="L17" i="45" s="1"/>
  <c r="O53" i="37"/>
  <c r="O58" i="37" s="1"/>
  <c r="L24" i="41"/>
  <c r="L25" i="41" s="1"/>
  <c r="Q91" i="32" s="1"/>
  <c r="O24" i="37"/>
  <c r="V8" i="32"/>
  <c r="G8" i="31" s="1"/>
  <c r="Q44" i="37"/>
  <c r="U17" i="32" s="1"/>
  <c r="R44" i="37"/>
  <c r="V17" i="32" s="1"/>
  <c r="G17" i="44" s="1"/>
  <c r="V16" i="32"/>
  <c r="G16" i="31" s="1"/>
  <c r="S16" i="32"/>
  <c r="U16" i="32"/>
  <c r="R56" i="37"/>
  <c r="Q24" i="37"/>
  <c r="Q56" i="37"/>
  <c r="T8" i="32"/>
  <c r="O17" i="45"/>
  <c r="BE51" i="2"/>
  <c r="S17" i="45"/>
  <c r="BI51" i="2"/>
  <c r="K56" i="39"/>
  <c r="H24" i="39"/>
  <c r="T24" i="38" s="1"/>
  <c r="K24" i="39"/>
  <c r="L56" i="39"/>
  <c r="V16" i="45"/>
  <c r="I16" i="45" s="1"/>
  <c r="L8" i="45"/>
  <c r="O8" i="45"/>
  <c r="Q24" i="39"/>
  <c r="M17" i="45"/>
  <c r="BC51" i="2"/>
  <c r="Q44" i="39"/>
  <c r="V8" i="45"/>
  <c r="I8" i="45" s="1"/>
  <c r="T23" i="38"/>
  <c r="T44" i="38" s="1"/>
  <c r="P17" i="45"/>
  <c r="BF51" i="2"/>
  <c r="V17" i="45"/>
  <c r="I17" i="32" s="1"/>
  <c r="BL51" i="2"/>
  <c r="O56" i="39"/>
  <c r="Q56" i="39"/>
  <c r="U16" i="45"/>
  <c r="BG51" i="2"/>
  <c r="L16" i="45"/>
  <c r="T17" i="45"/>
  <c r="BJ51" i="2"/>
  <c r="M44" i="38"/>
  <c r="M24" i="38"/>
  <c r="R44" i="38"/>
  <c r="M56" i="38"/>
  <c r="T16" i="44"/>
  <c r="H44" i="38"/>
  <c r="S17" i="44"/>
  <c r="AW51" i="2"/>
  <c r="P44" i="38"/>
  <c r="P24" i="38"/>
  <c r="S17" i="32"/>
  <c r="AK51" i="2"/>
  <c r="T16" i="32"/>
  <c r="S8" i="32"/>
  <c r="P44" i="37"/>
  <c r="O56" i="37"/>
  <c r="P56" i="37"/>
  <c r="J23" i="24"/>
  <c r="J24" i="24" s="1"/>
  <c r="H50" i="2"/>
  <c r="I23" i="24"/>
  <c r="I44" i="24" s="1"/>
  <c r="G50" i="2"/>
  <c r="L24" i="40"/>
  <c r="L25" i="40" s="1"/>
  <c r="Q91" i="31" s="1"/>
  <c r="K24" i="40"/>
  <c r="K25" i="40" s="1"/>
  <c r="P91" i="31" s="1"/>
  <c r="O24" i="40"/>
  <c r="O25" i="40" s="1"/>
  <c r="T91" i="31" s="1"/>
  <c r="F91" i="32"/>
  <c r="F91" i="45"/>
  <c r="F89" i="30"/>
  <c r="F91" i="31"/>
  <c r="F91" i="44"/>
  <c r="H24" i="25"/>
  <c r="I53" i="24"/>
  <c r="F64" i="23"/>
  <c r="F65" i="23" s="1"/>
  <c r="K63" i="30" s="1"/>
  <c r="K64" i="30" s="1"/>
  <c r="I24" i="25"/>
  <c r="J53" i="24"/>
  <c r="J24" i="25"/>
  <c r="K24" i="25"/>
  <c r="K25" i="25" s="1"/>
  <c r="P89" i="30" s="1"/>
  <c r="L24" i="25"/>
  <c r="L25" i="25" s="1"/>
  <c r="Q89" i="30" s="1"/>
  <c r="Q32" i="43"/>
  <c r="V93" i="45" s="1"/>
  <c r="Q25" i="43"/>
  <c r="V91" i="45" s="1"/>
  <c r="R57" i="39"/>
  <c r="R58" i="39"/>
  <c r="R60" i="39"/>
  <c r="Q57" i="39"/>
  <c r="Q58" i="39"/>
  <c r="Q60" i="39"/>
  <c r="P32" i="43"/>
  <c r="U93" i="45" s="1"/>
  <c r="P25" i="43"/>
  <c r="U91" i="45" s="1"/>
  <c r="P58" i="39"/>
  <c r="P60" i="39"/>
  <c r="P57" i="39"/>
  <c r="O32" i="43"/>
  <c r="T93" i="45" s="1"/>
  <c r="O25" i="43"/>
  <c r="T91" i="45" s="1"/>
  <c r="N32" i="43"/>
  <c r="S93" i="45" s="1"/>
  <c r="N25" i="43"/>
  <c r="S91" i="45" s="1"/>
  <c r="O60" i="39"/>
  <c r="O57" i="39"/>
  <c r="O58" i="39"/>
  <c r="N57" i="39"/>
  <c r="N58" i="39"/>
  <c r="N60" i="39"/>
  <c r="M60" i="39"/>
  <c r="M58" i="39"/>
  <c r="M57" i="39"/>
  <c r="L58" i="39"/>
  <c r="L60" i="39"/>
  <c r="L57" i="39"/>
  <c r="K57" i="39"/>
  <c r="K60" i="39"/>
  <c r="K58" i="39"/>
  <c r="J57" i="39"/>
  <c r="J58" i="39"/>
  <c r="J60" i="39"/>
  <c r="U56" i="38"/>
  <c r="U44" i="38"/>
  <c r="I57" i="39"/>
  <c r="I58" i="39"/>
  <c r="I60" i="39"/>
  <c r="H57" i="39"/>
  <c r="H58" i="39"/>
  <c r="H60" i="39"/>
  <c r="V22" i="39"/>
  <c r="G23" i="39"/>
  <c r="F24" i="43"/>
  <c r="F25" i="43" s="1"/>
  <c r="G53" i="39"/>
  <c r="I59" i="50"/>
  <c r="R57" i="38"/>
  <c r="R58" i="38"/>
  <c r="R60" i="38"/>
  <c r="H16" i="32"/>
  <c r="H16" i="30"/>
  <c r="H16" i="44"/>
  <c r="H89" i="30"/>
  <c r="H91" i="32"/>
  <c r="H91" i="31"/>
  <c r="H91" i="44"/>
  <c r="H91" i="45"/>
  <c r="H8" i="44"/>
  <c r="H8" i="32"/>
  <c r="H8" i="45"/>
  <c r="H8" i="31"/>
  <c r="H8" i="30"/>
  <c r="I59" i="52"/>
  <c r="O60" i="38"/>
  <c r="O57" i="38"/>
  <c r="O58" i="38"/>
  <c r="J59" i="49"/>
  <c r="I59" i="1"/>
  <c r="Q52" i="38"/>
  <c r="Q22" i="38"/>
  <c r="I59" i="51"/>
  <c r="P57" i="38"/>
  <c r="P58" i="38"/>
  <c r="P60" i="38"/>
  <c r="N57" i="38"/>
  <c r="N58" i="38"/>
  <c r="N60" i="38"/>
  <c r="M60" i="38"/>
  <c r="M57" i="38"/>
  <c r="M58" i="38"/>
  <c r="L52" i="38"/>
  <c r="L22" i="38"/>
  <c r="U63" i="28"/>
  <c r="I60" i="52" s="1"/>
  <c r="I62" i="52" s="1"/>
  <c r="I63" i="52" s="1"/>
  <c r="K52" i="38"/>
  <c r="K22" i="38"/>
  <c r="J52" i="38"/>
  <c r="J22" i="38"/>
  <c r="I52" i="38"/>
  <c r="I22" i="38"/>
  <c r="H57" i="38"/>
  <c r="H60" i="38"/>
  <c r="H58" i="38"/>
  <c r="G23" i="38"/>
  <c r="F24" i="42"/>
  <c r="F25" i="42" s="1"/>
  <c r="G53" i="38"/>
  <c r="G91" i="32"/>
  <c r="G91" i="44"/>
  <c r="G91" i="45"/>
  <c r="G89" i="30"/>
  <c r="G91" i="31"/>
  <c r="G8" i="32"/>
  <c r="R57" i="37"/>
  <c r="R60" i="37"/>
  <c r="R58" i="37"/>
  <c r="Q57" i="37"/>
  <c r="Q60" i="37"/>
  <c r="Q58" i="37"/>
  <c r="P57" i="37"/>
  <c r="P60" i="37"/>
  <c r="P58" i="37"/>
  <c r="V65" i="45"/>
  <c r="I64" i="32"/>
  <c r="I64" i="44"/>
  <c r="I64" i="31"/>
  <c r="I64" i="45"/>
  <c r="I63" i="30"/>
  <c r="I62" i="45"/>
  <c r="I62" i="31"/>
  <c r="I61" i="30"/>
  <c r="I62" i="32"/>
  <c r="I62" i="44"/>
  <c r="G65" i="32"/>
  <c r="G64" i="30"/>
  <c r="G65" i="44"/>
  <c r="G65" i="31"/>
  <c r="G65" i="45"/>
  <c r="K55" i="30"/>
  <c r="K53" i="30"/>
  <c r="H58" i="52"/>
  <c r="H58" i="51"/>
  <c r="G53" i="52"/>
  <c r="G53" i="51"/>
  <c r="G53" i="50"/>
  <c r="K51" i="30"/>
  <c r="K49" i="30"/>
  <c r="K56" i="30"/>
  <c r="K57" i="30" s="1"/>
  <c r="K61" i="30"/>
  <c r="N33" i="3"/>
  <c r="I58" i="50"/>
  <c r="J58" i="49"/>
  <c r="I58" i="51"/>
  <c r="L33" i="3"/>
  <c r="H58" i="50"/>
  <c r="I58" i="49"/>
  <c r="J31" i="3"/>
  <c r="H53" i="49"/>
  <c r="K59" i="30"/>
  <c r="U63" i="29"/>
  <c r="R64" i="44"/>
  <c r="R65" i="44" s="1"/>
  <c r="U65" i="27"/>
  <c r="U64" i="32"/>
  <c r="U65" i="32" s="1"/>
  <c r="O87" i="30"/>
  <c r="K64" i="44"/>
  <c r="K65" i="44" s="1"/>
  <c r="K64" i="45"/>
  <c r="K65" i="45" s="1"/>
  <c r="K64" i="32"/>
  <c r="K65" i="32" s="1"/>
  <c r="L31" i="25"/>
  <c r="L16" i="25"/>
  <c r="K18" i="25"/>
  <c r="K19" i="25" s="1"/>
  <c r="J58" i="1"/>
  <c r="I58" i="1"/>
  <c r="H58" i="1"/>
  <c r="BD51" i="2" l="1"/>
  <c r="R17" i="45"/>
  <c r="AV51" i="2"/>
  <c r="H16" i="31"/>
  <c r="BB51" i="2"/>
  <c r="I8" i="31"/>
  <c r="I8" i="44"/>
  <c r="I16" i="31"/>
  <c r="I16" i="44"/>
  <c r="I16" i="30"/>
  <c r="L19" i="24"/>
  <c r="P60" i="30"/>
  <c r="M27" i="25"/>
  <c r="L62" i="23"/>
  <c r="Q90" i="30"/>
  <c r="K51" i="24"/>
  <c r="K53" i="24" s="1"/>
  <c r="K60" i="24" s="1"/>
  <c r="K22" i="24"/>
  <c r="T56" i="37"/>
  <c r="I8" i="30"/>
  <c r="I16" i="32"/>
  <c r="I8" i="32"/>
  <c r="T56" i="38"/>
  <c r="O60" i="37"/>
  <c r="O57" i="37"/>
  <c r="U25" i="41"/>
  <c r="AM51" i="2"/>
  <c r="G16" i="45"/>
  <c r="G16" i="30"/>
  <c r="G16" i="32"/>
  <c r="G16" i="44"/>
  <c r="AN51" i="2"/>
  <c r="G8" i="44"/>
  <c r="G17" i="45"/>
  <c r="G8" i="30"/>
  <c r="G8" i="45"/>
  <c r="I17" i="45"/>
  <c r="I17" i="31"/>
  <c r="I17" i="44"/>
  <c r="I17" i="30"/>
  <c r="U17" i="45"/>
  <c r="BK51" i="2"/>
  <c r="I23" i="38"/>
  <c r="I44" i="38" s="1"/>
  <c r="AQ50" i="2"/>
  <c r="J23" i="38"/>
  <c r="J24" i="38" s="1"/>
  <c r="AR50" i="2"/>
  <c r="Q17" i="44"/>
  <c r="AU51" i="2"/>
  <c r="T17" i="44"/>
  <c r="AX51" i="2"/>
  <c r="K23" i="38"/>
  <c r="O8" i="44" s="1"/>
  <c r="AS50" i="2"/>
  <c r="V17" i="44"/>
  <c r="AZ51" i="2"/>
  <c r="Q23" i="38"/>
  <c r="U8" i="44" s="1"/>
  <c r="AY50" i="2"/>
  <c r="L17" i="44"/>
  <c r="AP51" i="2"/>
  <c r="L23" i="38"/>
  <c r="P8" i="44" s="1"/>
  <c r="AT50" i="2"/>
  <c r="G17" i="31"/>
  <c r="T17" i="32"/>
  <c r="AL51" i="2"/>
  <c r="G17" i="32"/>
  <c r="G17" i="30"/>
  <c r="J44" i="24"/>
  <c r="N17" i="30" s="1"/>
  <c r="N16" i="30"/>
  <c r="M16" i="30"/>
  <c r="J56" i="24"/>
  <c r="N8" i="30"/>
  <c r="M17" i="30"/>
  <c r="G51" i="2"/>
  <c r="M8" i="30"/>
  <c r="I56" i="24"/>
  <c r="I24" i="24"/>
  <c r="U25" i="40"/>
  <c r="J25" i="25"/>
  <c r="O89" i="30" s="1"/>
  <c r="J32" i="25"/>
  <c r="O91" i="30" s="1"/>
  <c r="I25" i="25"/>
  <c r="N89" i="30" s="1"/>
  <c r="I32" i="25"/>
  <c r="N91" i="30" s="1"/>
  <c r="J60" i="24"/>
  <c r="J57" i="24"/>
  <c r="J58" i="24"/>
  <c r="K32" i="25"/>
  <c r="P91" i="30" s="1"/>
  <c r="K58" i="24"/>
  <c r="I60" i="24"/>
  <c r="I57" i="24"/>
  <c r="I58" i="24"/>
  <c r="L32" i="25"/>
  <c r="Q91" i="30" s="1"/>
  <c r="G20" i="24"/>
  <c r="K62" i="30"/>
  <c r="H25" i="25"/>
  <c r="M89" i="30" s="1"/>
  <c r="H32" i="25"/>
  <c r="M91" i="30" s="1"/>
  <c r="I91" i="31"/>
  <c r="I91" i="32"/>
  <c r="I91" i="44"/>
  <c r="I91" i="45"/>
  <c r="I89" i="30"/>
  <c r="I93" i="44"/>
  <c r="I93" i="32"/>
  <c r="I93" i="45"/>
  <c r="I91" i="30"/>
  <c r="I93" i="31"/>
  <c r="G57" i="39"/>
  <c r="G60" i="39"/>
  <c r="G44" i="39"/>
  <c r="BA51" i="2" s="1"/>
  <c r="G58" i="39"/>
  <c r="K91" i="45"/>
  <c r="F32" i="43"/>
  <c r="U25" i="43"/>
  <c r="K16" i="45"/>
  <c r="S23" i="38"/>
  <c r="K8" i="45"/>
  <c r="G56" i="39"/>
  <c r="G24" i="39"/>
  <c r="S24" i="38" s="1"/>
  <c r="V23" i="39"/>
  <c r="V22" i="38"/>
  <c r="P24" i="42"/>
  <c r="P25" i="42" s="1"/>
  <c r="U91" i="44" s="1"/>
  <c r="Q53" i="38"/>
  <c r="I52" i="52"/>
  <c r="I60" i="50"/>
  <c r="I62" i="50" s="1"/>
  <c r="I63" i="50" s="1"/>
  <c r="I60" i="51"/>
  <c r="I61" i="51" s="1"/>
  <c r="I51" i="52"/>
  <c r="J60" i="49"/>
  <c r="J51" i="49" s="1"/>
  <c r="I61" i="52"/>
  <c r="N34" i="3"/>
  <c r="K24" i="42"/>
  <c r="K25" i="42" s="1"/>
  <c r="P91" i="44" s="1"/>
  <c r="L53" i="38"/>
  <c r="J24" i="42"/>
  <c r="J25" i="42" s="1"/>
  <c r="O91" i="44" s="1"/>
  <c r="K53" i="38"/>
  <c r="K44" i="38"/>
  <c r="I24" i="42"/>
  <c r="I25" i="42" s="1"/>
  <c r="N91" i="44" s="1"/>
  <c r="J53" i="38"/>
  <c r="H24" i="42"/>
  <c r="H25" i="42" s="1"/>
  <c r="M91" i="44" s="1"/>
  <c r="I53" i="38"/>
  <c r="G44" i="38"/>
  <c r="AO51" i="2" s="1"/>
  <c r="G60" i="38"/>
  <c r="G58" i="38"/>
  <c r="G57" i="38"/>
  <c r="G24" i="38"/>
  <c r="S24" i="37" s="1"/>
  <c r="G56" i="38"/>
  <c r="K8" i="44"/>
  <c r="K16" i="44"/>
  <c r="S23" i="37"/>
  <c r="K91" i="44"/>
  <c r="I65" i="44"/>
  <c r="I65" i="31"/>
  <c r="I65" i="45"/>
  <c r="I65" i="32"/>
  <c r="I64" i="30"/>
  <c r="H60" i="52"/>
  <c r="H60" i="51"/>
  <c r="K60" i="49"/>
  <c r="J60" i="50"/>
  <c r="J60" i="52"/>
  <c r="J60" i="51"/>
  <c r="L34" i="3"/>
  <c r="H60" i="50"/>
  <c r="I60" i="49"/>
  <c r="P34" i="3"/>
  <c r="P87" i="30"/>
  <c r="J60" i="1"/>
  <c r="J51" i="1" s="1"/>
  <c r="I60" i="1"/>
  <c r="I62" i="1" s="1"/>
  <c r="I63" i="1" s="1"/>
  <c r="H60" i="1"/>
  <c r="H52" i="1" s="1"/>
  <c r="M31" i="25"/>
  <c r="M16" i="25"/>
  <c r="L18" i="25"/>
  <c r="L19" i="25" s="1"/>
  <c r="M61" i="30"/>
  <c r="K57" i="24" l="1"/>
  <c r="I24" i="38"/>
  <c r="U24" i="37" s="1"/>
  <c r="Q56" i="38"/>
  <c r="Q44" i="38"/>
  <c r="U17" i="44" s="1"/>
  <c r="M19" i="24"/>
  <c r="Q60" i="30"/>
  <c r="K23" i="24"/>
  <c r="I50" i="2"/>
  <c r="N27" i="25"/>
  <c r="M62" i="23"/>
  <c r="R90" i="30"/>
  <c r="L51" i="24"/>
  <c r="L53" i="24" s="1"/>
  <c r="L22" i="24"/>
  <c r="N16" i="44"/>
  <c r="J56" i="38"/>
  <c r="J44" i="38"/>
  <c r="N17" i="44" s="1"/>
  <c r="N8" i="44"/>
  <c r="U16" i="44"/>
  <c r="H51" i="2"/>
  <c r="M17" i="44"/>
  <c r="AQ51" i="2"/>
  <c r="K56" i="38"/>
  <c r="L56" i="38"/>
  <c r="V23" i="38"/>
  <c r="K24" i="38"/>
  <c r="L44" i="38"/>
  <c r="Q24" i="38"/>
  <c r="O17" i="44"/>
  <c r="AS51" i="2"/>
  <c r="M8" i="44"/>
  <c r="L24" i="38"/>
  <c r="P16" i="44"/>
  <c r="M16" i="44"/>
  <c r="O16" i="44"/>
  <c r="U23" i="37"/>
  <c r="U56" i="37" s="1"/>
  <c r="H17" i="44"/>
  <c r="H17" i="45"/>
  <c r="H17" i="32"/>
  <c r="H17" i="30"/>
  <c r="H17" i="31"/>
  <c r="J61" i="49"/>
  <c r="I56" i="38"/>
  <c r="G52" i="24"/>
  <c r="G22" i="24"/>
  <c r="E50" i="2" s="1"/>
  <c r="K17" i="45"/>
  <c r="V44" i="39"/>
  <c r="S44" i="38"/>
  <c r="S56" i="38"/>
  <c r="I51" i="50"/>
  <c r="J62" i="49"/>
  <c r="J63" i="49" s="1"/>
  <c r="I61" i="50"/>
  <c r="I51" i="51"/>
  <c r="I52" i="51"/>
  <c r="Q58" i="38"/>
  <c r="Q60" i="38"/>
  <c r="Q57" i="38"/>
  <c r="I62" i="51"/>
  <c r="I63" i="51" s="1"/>
  <c r="I52" i="50"/>
  <c r="J52" i="49"/>
  <c r="L60" i="38"/>
  <c r="L58" i="38"/>
  <c r="L57" i="38"/>
  <c r="K60" i="38"/>
  <c r="K58" i="38"/>
  <c r="K57" i="38"/>
  <c r="J57" i="38"/>
  <c r="J60" i="38"/>
  <c r="J58" i="38"/>
  <c r="I60" i="38"/>
  <c r="I57" i="38"/>
  <c r="I58" i="38"/>
  <c r="U44" i="37"/>
  <c r="U25" i="42"/>
  <c r="S44" i="37"/>
  <c r="S56" i="37"/>
  <c r="K17" i="44"/>
  <c r="H61" i="51"/>
  <c r="H62" i="51"/>
  <c r="H63" i="51" s="1"/>
  <c r="H52" i="51"/>
  <c r="H62" i="52"/>
  <c r="H63" i="52" s="1"/>
  <c r="H61" i="52"/>
  <c r="H52" i="52"/>
  <c r="J61" i="51"/>
  <c r="J51" i="51"/>
  <c r="J62" i="51"/>
  <c r="J63" i="51" s="1"/>
  <c r="J52" i="51"/>
  <c r="J61" i="52"/>
  <c r="J62" i="52"/>
  <c r="J63" i="52" s="1"/>
  <c r="J52" i="52"/>
  <c r="J51" i="52"/>
  <c r="J61" i="50"/>
  <c r="J51" i="50"/>
  <c r="J62" i="50"/>
  <c r="J63" i="50" s="1"/>
  <c r="J52" i="50"/>
  <c r="K62" i="49"/>
  <c r="K63" i="49" s="1"/>
  <c r="K51" i="49"/>
  <c r="K61" i="49"/>
  <c r="K52" i="49"/>
  <c r="I61" i="49"/>
  <c r="I52" i="49"/>
  <c r="I62" i="49"/>
  <c r="I63" i="49" s="1"/>
  <c r="H61" i="50"/>
  <c r="H62" i="50"/>
  <c r="H63" i="50" s="1"/>
  <c r="H52" i="50"/>
  <c r="Q87" i="30"/>
  <c r="J61" i="1"/>
  <c r="J62" i="1"/>
  <c r="J63" i="1" s="1"/>
  <c r="J52" i="1"/>
  <c r="I61" i="1"/>
  <c r="I52" i="1"/>
  <c r="I51" i="1"/>
  <c r="M63" i="30"/>
  <c r="M64" i="30" s="1"/>
  <c r="H61" i="1"/>
  <c r="H62" i="1"/>
  <c r="H63" i="1" s="1"/>
  <c r="N16" i="25"/>
  <c r="M18" i="25"/>
  <c r="M19" i="25" s="1"/>
  <c r="AY51" i="2" l="1"/>
  <c r="O27" i="25"/>
  <c r="N62" i="23"/>
  <c r="S90" i="30"/>
  <c r="K56" i="24"/>
  <c r="O16" i="30"/>
  <c r="O8" i="30"/>
  <c r="K24" i="24"/>
  <c r="K44" i="24"/>
  <c r="N19" i="24"/>
  <c r="N51" i="24" s="1"/>
  <c r="R60" i="30"/>
  <c r="N31" i="25"/>
  <c r="L23" i="24"/>
  <c r="J50" i="2"/>
  <c r="L57" i="24"/>
  <c r="L60" i="24"/>
  <c r="L58" i="24"/>
  <c r="M51" i="24"/>
  <c r="M53" i="24" s="1"/>
  <c r="M22" i="24"/>
  <c r="AR51" i="2"/>
  <c r="P17" i="44"/>
  <c r="AT51" i="2"/>
  <c r="V44" i="38"/>
  <c r="G23" i="24"/>
  <c r="F24" i="25"/>
  <c r="G53" i="24"/>
  <c r="R87" i="30"/>
  <c r="O31" i="25"/>
  <c r="O16" i="25"/>
  <c r="N18" i="25"/>
  <c r="N19" i="25" s="1"/>
  <c r="N61" i="30"/>
  <c r="M23" i="24" l="1"/>
  <c r="K50" i="2"/>
  <c r="M58" i="24"/>
  <c r="M57" i="24"/>
  <c r="M60" i="24"/>
  <c r="P8" i="30"/>
  <c r="L56" i="24"/>
  <c r="P16" i="30"/>
  <c r="L24" i="24"/>
  <c r="L44" i="24"/>
  <c r="O19" i="24"/>
  <c r="O51" i="24" s="1"/>
  <c r="S60" i="30"/>
  <c r="O17" i="30"/>
  <c r="I51" i="2"/>
  <c r="P27" i="25"/>
  <c r="O62" i="23"/>
  <c r="T90" i="30"/>
  <c r="G57" i="24"/>
  <c r="G60" i="24"/>
  <c r="G58" i="24"/>
  <c r="G44" i="24"/>
  <c r="E51" i="2" s="1"/>
  <c r="F25" i="25"/>
  <c r="F32" i="25"/>
  <c r="K91" i="30" s="1"/>
  <c r="G24" i="24"/>
  <c r="G56" i="24"/>
  <c r="K8" i="30"/>
  <c r="S87" i="30"/>
  <c r="O63" i="30"/>
  <c r="O64" i="30" s="1"/>
  <c r="O61" i="30"/>
  <c r="N63" i="30"/>
  <c r="N64" i="30" s="1"/>
  <c r="P16" i="25"/>
  <c r="O18" i="25"/>
  <c r="O19" i="25" s="1"/>
  <c r="Q27" i="25" l="1"/>
  <c r="P62" i="23"/>
  <c r="U90" i="30"/>
  <c r="U27" i="25"/>
  <c r="P19" i="24"/>
  <c r="P51" i="24" s="1"/>
  <c r="T60" i="30"/>
  <c r="J51" i="2"/>
  <c r="P17" i="30"/>
  <c r="P31" i="25"/>
  <c r="M24" i="24"/>
  <c r="Q16" i="30"/>
  <c r="M44" i="24"/>
  <c r="M56" i="24"/>
  <c r="Q8" i="30"/>
  <c r="F11" i="25"/>
  <c r="F14" i="25" s="1"/>
  <c r="K17" i="30"/>
  <c r="T87" i="30"/>
  <c r="Q31" i="25"/>
  <c r="Q16" i="25"/>
  <c r="P18" i="25"/>
  <c r="P19" i="25" s="1"/>
  <c r="Q17" i="30" l="1"/>
  <c r="K51" i="2"/>
  <c r="Q19" i="24"/>
  <c r="Q51" i="24" s="1"/>
  <c r="U60" i="30"/>
  <c r="V90" i="30"/>
  <c r="Q62" i="23"/>
  <c r="F27" i="40"/>
  <c r="F20" i="25"/>
  <c r="K86" i="30"/>
  <c r="K93" i="30"/>
  <c r="Q18" i="25"/>
  <c r="Q19" i="25" s="1"/>
  <c r="F16" i="40"/>
  <c r="U87" i="30"/>
  <c r="E92" i="45" l="1"/>
  <c r="E90" i="30"/>
  <c r="E92" i="31"/>
  <c r="E92" i="44"/>
  <c r="E92" i="32"/>
  <c r="R19" i="24"/>
  <c r="R51" i="24" s="1"/>
  <c r="V60" i="30"/>
  <c r="U62" i="23"/>
  <c r="K92" i="31"/>
  <c r="F63" i="26"/>
  <c r="G27" i="40"/>
  <c r="R27" i="25"/>
  <c r="K88" i="30"/>
  <c r="F33" i="25"/>
  <c r="R16" i="25"/>
  <c r="G16" i="40"/>
  <c r="F18" i="40"/>
  <c r="F19" i="40" s="1"/>
  <c r="V87" i="30"/>
  <c r="U19" i="25"/>
  <c r="E61" i="45" l="1"/>
  <c r="E60" i="30"/>
  <c r="E61" i="31"/>
  <c r="E61" i="44"/>
  <c r="E61" i="32"/>
  <c r="E87" i="30"/>
  <c r="E89" i="44"/>
  <c r="E89" i="32"/>
  <c r="E89" i="45"/>
  <c r="E89" i="31"/>
  <c r="F57" i="52"/>
  <c r="F57" i="50"/>
  <c r="F57" i="51"/>
  <c r="G57" i="49"/>
  <c r="F57" i="1"/>
  <c r="R62" i="23"/>
  <c r="S19" i="24" s="1"/>
  <c r="R31" i="25"/>
  <c r="R32" i="25" s="1"/>
  <c r="G63" i="26"/>
  <c r="L92" i="31"/>
  <c r="S27" i="25"/>
  <c r="H27" i="40"/>
  <c r="G19" i="33"/>
  <c r="K61" i="31"/>
  <c r="F35" i="25"/>
  <c r="F36" i="25" s="1"/>
  <c r="K92" i="30"/>
  <c r="K96" i="30" s="1"/>
  <c r="K97" i="30" s="1"/>
  <c r="K89" i="31"/>
  <c r="R18" i="25"/>
  <c r="R19" i="25" s="1"/>
  <c r="S16" i="25"/>
  <c r="H16" i="40"/>
  <c r="G18" i="40"/>
  <c r="G19" i="40" s="1"/>
  <c r="F31" i="40"/>
  <c r="G31" i="40"/>
  <c r="G32" i="40" s="1"/>
  <c r="L93" i="31" s="1"/>
  <c r="H63" i="26" l="1"/>
  <c r="I27" i="40"/>
  <c r="T27" i="25"/>
  <c r="M92" i="31"/>
  <c r="S62" i="23"/>
  <c r="T19" i="24" s="1"/>
  <c r="S31" i="25"/>
  <c r="S32" i="25" s="1"/>
  <c r="S51" i="24"/>
  <c r="S22" i="24"/>
  <c r="G51" i="33"/>
  <c r="G22" i="33"/>
  <c r="H19" i="33"/>
  <c r="L61" i="31"/>
  <c r="F32" i="40"/>
  <c r="K93" i="31" s="1"/>
  <c r="L89" i="31"/>
  <c r="T16" i="25"/>
  <c r="T18" i="25" s="1"/>
  <c r="T19" i="25" s="1"/>
  <c r="S18" i="25"/>
  <c r="S19" i="25" s="1"/>
  <c r="I16" i="40"/>
  <c r="H18" i="40"/>
  <c r="H19" i="40" s="1"/>
  <c r="T51" i="24" l="1"/>
  <c r="T22" i="24"/>
  <c r="H51" i="33"/>
  <c r="H22" i="33"/>
  <c r="R50" i="2" s="1"/>
  <c r="Q50" i="2"/>
  <c r="I63" i="26"/>
  <c r="N92" i="31"/>
  <c r="J27" i="40"/>
  <c r="T62" i="23"/>
  <c r="U19" i="24" s="1"/>
  <c r="T31" i="25"/>
  <c r="T32" i="25" s="1"/>
  <c r="I19" i="33"/>
  <c r="M61" i="31"/>
  <c r="M89" i="31"/>
  <c r="J16" i="40"/>
  <c r="I18" i="40"/>
  <c r="I19" i="40" s="1"/>
  <c r="H31" i="40"/>
  <c r="H32" i="40" s="1"/>
  <c r="M93" i="31" s="1"/>
  <c r="J19" i="33" l="1"/>
  <c r="N61" i="31"/>
  <c r="I51" i="33"/>
  <c r="I22" i="33"/>
  <c r="U51" i="24"/>
  <c r="U22" i="24"/>
  <c r="J63" i="26"/>
  <c r="K27" i="40"/>
  <c r="O92" i="31"/>
  <c r="N89" i="31"/>
  <c r="K16" i="40"/>
  <c r="J18" i="40"/>
  <c r="J19" i="40" s="1"/>
  <c r="I31" i="40"/>
  <c r="I32" i="40" s="1"/>
  <c r="N93" i="31" s="1"/>
  <c r="S50" i="2" l="1"/>
  <c r="K19" i="33"/>
  <c r="O61" i="31"/>
  <c r="K63" i="26"/>
  <c r="L27" i="40"/>
  <c r="P92" i="31"/>
  <c r="J51" i="33"/>
  <c r="J53" i="33" s="1"/>
  <c r="J22" i="33"/>
  <c r="O89" i="31"/>
  <c r="L16" i="40"/>
  <c r="K18" i="40"/>
  <c r="K19" i="40" s="1"/>
  <c r="J31" i="40"/>
  <c r="J32" i="40" s="1"/>
  <c r="O93" i="31" s="1"/>
  <c r="L19" i="33" l="1"/>
  <c r="P61" i="31"/>
  <c r="K51" i="33"/>
  <c r="K53" i="33" s="1"/>
  <c r="K22" i="33"/>
  <c r="L63" i="26"/>
  <c r="M27" i="40"/>
  <c r="Q92" i="31"/>
  <c r="J23" i="33"/>
  <c r="T50" i="2"/>
  <c r="J60" i="33"/>
  <c r="J58" i="33"/>
  <c r="J57" i="33"/>
  <c r="M16" i="40"/>
  <c r="L18" i="40"/>
  <c r="L19" i="40" s="1"/>
  <c r="P89" i="31"/>
  <c r="K31" i="40"/>
  <c r="K32" i="40" s="1"/>
  <c r="P93" i="31" s="1"/>
  <c r="M19" i="33" l="1"/>
  <c r="Q61" i="31"/>
  <c r="U50" i="2"/>
  <c r="K23" i="33"/>
  <c r="N8" i="31"/>
  <c r="J44" i="33"/>
  <c r="N16" i="31"/>
  <c r="J56" i="33"/>
  <c r="J24" i="33"/>
  <c r="M63" i="26"/>
  <c r="N27" i="40"/>
  <c r="R92" i="31"/>
  <c r="K57" i="33"/>
  <c r="K58" i="33"/>
  <c r="K60" i="33"/>
  <c r="L51" i="33"/>
  <c r="L53" i="33" s="1"/>
  <c r="L22" i="33"/>
  <c r="N16" i="40"/>
  <c r="M18" i="40"/>
  <c r="M19" i="40" s="1"/>
  <c r="Q89" i="31"/>
  <c r="L31" i="40"/>
  <c r="L32" i="40" s="1"/>
  <c r="Q93" i="31" s="1"/>
  <c r="N17" i="31" l="1"/>
  <c r="T51" i="2"/>
  <c r="L57" i="33"/>
  <c r="L58" i="33"/>
  <c r="L60" i="33"/>
  <c r="K56" i="33"/>
  <c r="K24" i="33"/>
  <c r="O8" i="31"/>
  <c r="K44" i="33"/>
  <c r="O16" i="31"/>
  <c r="N63" i="26"/>
  <c r="S92" i="31"/>
  <c r="O27" i="40"/>
  <c r="N19" i="33"/>
  <c r="R61" i="31"/>
  <c r="L23" i="33"/>
  <c r="V50" i="2"/>
  <c r="M51" i="33"/>
  <c r="M53" i="33" s="1"/>
  <c r="M22" i="33"/>
  <c r="O16" i="40"/>
  <c r="N18" i="40"/>
  <c r="N19" i="40" s="1"/>
  <c r="R89" i="31"/>
  <c r="M31" i="40"/>
  <c r="M32" i="40" s="1"/>
  <c r="R93" i="31" s="1"/>
  <c r="N51" i="33" l="1"/>
  <c r="N53" i="33" s="1"/>
  <c r="N22" i="33"/>
  <c r="O63" i="26"/>
  <c r="T92" i="31"/>
  <c r="P27" i="40"/>
  <c r="O19" i="33"/>
  <c r="S61" i="31"/>
  <c r="M23" i="33"/>
  <c r="W50" i="2"/>
  <c r="M58" i="33"/>
  <c r="M57" i="33"/>
  <c r="M60" i="33"/>
  <c r="L24" i="33"/>
  <c r="P8" i="31"/>
  <c r="P16" i="31"/>
  <c r="L56" i="33"/>
  <c r="L44" i="33"/>
  <c r="O17" i="31"/>
  <c r="U51" i="2"/>
  <c r="P16" i="40"/>
  <c r="O18" i="40"/>
  <c r="O19" i="40" s="1"/>
  <c r="S89" i="31"/>
  <c r="N31" i="40"/>
  <c r="N32" i="40" s="1"/>
  <c r="S93" i="31" s="1"/>
  <c r="P63" i="26" l="1"/>
  <c r="U92" i="31"/>
  <c r="Q27" i="40"/>
  <c r="U27" i="40"/>
  <c r="M56" i="33"/>
  <c r="Q8" i="31"/>
  <c r="Q16" i="31"/>
  <c r="M24" i="33"/>
  <c r="M44" i="33"/>
  <c r="O51" i="33"/>
  <c r="O53" i="33" s="1"/>
  <c r="O22" i="33"/>
  <c r="P19" i="33"/>
  <c r="T61" i="31"/>
  <c r="N23" i="33"/>
  <c r="X50" i="2"/>
  <c r="V51" i="2"/>
  <c r="P17" i="31"/>
  <c r="N57" i="33"/>
  <c r="N58" i="33"/>
  <c r="N60" i="33"/>
  <c r="N31" i="41"/>
  <c r="N32" i="41" s="1"/>
  <c r="Q16" i="40"/>
  <c r="F16" i="41" s="1"/>
  <c r="P18" i="40"/>
  <c r="P19" i="40" s="1"/>
  <c r="T89" i="31"/>
  <c r="O31" i="40"/>
  <c r="O32" i="40" s="1"/>
  <c r="T93" i="31" s="1"/>
  <c r="N56" i="33" l="1"/>
  <c r="N44" i="33"/>
  <c r="R16" i="31"/>
  <c r="N24" i="33"/>
  <c r="R8" i="31"/>
  <c r="P51" i="33"/>
  <c r="P53" i="33" s="1"/>
  <c r="P22" i="33"/>
  <c r="O23" i="33"/>
  <c r="Y50" i="2"/>
  <c r="F27" i="41"/>
  <c r="Q63" i="26"/>
  <c r="V92" i="31"/>
  <c r="O58" i="33"/>
  <c r="O57" i="33"/>
  <c r="O60" i="33"/>
  <c r="W51" i="2"/>
  <c r="Q17" i="31"/>
  <c r="Q19" i="33"/>
  <c r="U61" i="31"/>
  <c r="O31" i="41"/>
  <c r="O32" i="41" s="1"/>
  <c r="F18" i="41"/>
  <c r="F19" i="41" s="1"/>
  <c r="G16" i="41"/>
  <c r="S92" i="32"/>
  <c r="R16" i="40"/>
  <c r="Q18" i="40"/>
  <c r="Q19" i="40" s="1"/>
  <c r="U89" i="31"/>
  <c r="P31" i="40"/>
  <c r="P32" i="40" s="1"/>
  <c r="U93" i="31" s="1"/>
  <c r="P23" i="33" l="1"/>
  <c r="Z50" i="2"/>
  <c r="O44" i="33"/>
  <c r="S16" i="31"/>
  <c r="O56" i="33"/>
  <c r="O24" i="33"/>
  <c r="S8" i="31"/>
  <c r="P57" i="33"/>
  <c r="P60" i="33"/>
  <c r="P58" i="33"/>
  <c r="F92" i="45"/>
  <c r="F90" i="30"/>
  <c r="F92" i="31"/>
  <c r="F92" i="44"/>
  <c r="F92" i="32"/>
  <c r="R17" i="31"/>
  <c r="X51" i="2"/>
  <c r="R19" i="33"/>
  <c r="V61" i="31"/>
  <c r="U63" i="26"/>
  <c r="Q51" i="33"/>
  <c r="Q53" i="33" s="1"/>
  <c r="Q22" i="33"/>
  <c r="F62" i="27"/>
  <c r="F31" i="41"/>
  <c r="F32" i="41" s="1"/>
  <c r="K93" i="32" s="1"/>
  <c r="G27" i="41"/>
  <c r="K92" i="32"/>
  <c r="R27" i="40"/>
  <c r="R63" i="26" s="1"/>
  <c r="S19" i="33" s="1"/>
  <c r="P31" i="41"/>
  <c r="P32" i="41" s="1"/>
  <c r="H16" i="41"/>
  <c r="G18" i="41"/>
  <c r="G19" i="41" s="1"/>
  <c r="T92" i="32"/>
  <c r="V89" i="31"/>
  <c r="U19" i="40"/>
  <c r="R18" i="40"/>
  <c r="R19" i="40" s="1"/>
  <c r="S16" i="40"/>
  <c r="Q31" i="40"/>
  <c r="Q32" i="40" s="1"/>
  <c r="V93" i="31" s="1"/>
  <c r="F89" i="32" l="1"/>
  <c r="F89" i="45"/>
  <c r="F89" i="31"/>
  <c r="F89" i="44"/>
  <c r="F87" i="30"/>
  <c r="AA50" i="2"/>
  <c r="Q23" i="33"/>
  <c r="Q60" i="33"/>
  <c r="Q57" i="33"/>
  <c r="Q58" i="33"/>
  <c r="F60" i="30"/>
  <c r="F61" i="31"/>
  <c r="F61" i="45"/>
  <c r="F61" i="32"/>
  <c r="F61" i="44"/>
  <c r="Y51" i="2"/>
  <c r="S17" i="31"/>
  <c r="S51" i="33"/>
  <c r="S53" i="33" s="1"/>
  <c r="S22" i="33"/>
  <c r="G19" i="37"/>
  <c r="K61" i="32"/>
  <c r="G57" i="50"/>
  <c r="G57" i="1"/>
  <c r="H57" i="49"/>
  <c r="G57" i="51"/>
  <c r="G57" i="52"/>
  <c r="J32" i="3"/>
  <c r="R51" i="33"/>
  <c r="R53" i="33" s="1"/>
  <c r="R22" i="33"/>
  <c r="G62" i="27"/>
  <c r="G31" i="41"/>
  <c r="G32" i="41" s="1"/>
  <c r="L93" i="32" s="1"/>
  <c r="H27" i="41"/>
  <c r="S27" i="40"/>
  <c r="S63" i="26" s="1"/>
  <c r="T19" i="33" s="1"/>
  <c r="L92" i="32"/>
  <c r="P56" i="33"/>
  <c r="T8" i="31"/>
  <c r="P44" i="33"/>
  <c r="T16" i="31"/>
  <c r="P24" i="33"/>
  <c r="F93" i="31"/>
  <c r="F93" i="32"/>
  <c r="F93" i="44"/>
  <c r="F93" i="45"/>
  <c r="F91" i="30"/>
  <c r="Q31" i="41"/>
  <c r="Q32" i="41" s="1"/>
  <c r="H18" i="41"/>
  <c r="H19" i="41" s="1"/>
  <c r="I16" i="41"/>
  <c r="U92" i="32"/>
  <c r="S18" i="40"/>
  <c r="S19" i="40" s="1"/>
  <c r="T16" i="40"/>
  <c r="T18" i="40" s="1"/>
  <c r="T19" i="40" s="1"/>
  <c r="R31" i="40"/>
  <c r="R32" i="40" s="1"/>
  <c r="Q24" i="33" l="1"/>
  <c r="U16" i="31"/>
  <c r="Q56" i="33"/>
  <c r="Q44" i="33"/>
  <c r="U8" i="31"/>
  <c r="R23" i="33"/>
  <c r="AB50" i="2"/>
  <c r="V22" i="33"/>
  <c r="R57" i="33"/>
  <c r="R60" i="33"/>
  <c r="R58" i="33"/>
  <c r="I27" i="41"/>
  <c r="H62" i="27"/>
  <c r="H31" i="41"/>
  <c r="H32" i="41" s="1"/>
  <c r="T27" i="40"/>
  <c r="T63" i="26" s="1"/>
  <c r="U19" i="33" s="1"/>
  <c r="M92" i="32"/>
  <c r="H19" i="37"/>
  <c r="L61" i="32"/>
  <c r="Z51" i="2"/>
  <c r="T17" i="31"/>
  <c r="G51" i="37"/>
  <c r="G53" i="37" s="1"/>
  <c r="G22" i="37"/>
  <c r="S60" i="33"/>
  <c r="S58" i="33"/>
  <c r="S57" i="33"/>
  <c r="T51" i="33"/>
  <c r="T53" i="33" s="1"/>
  <c r="T22" i="33"/>
  <c r="I18" i="41"/>
  <c r="I19" i="41" s="1"/>
  <c r="J16" i="41"/>
  <c r="V92" i="32"/>
  <c r="R31" i="41"/>
  <c r="R32" i="41" s="1"/>
  <c r="M93" i="32"/>
  <c r="S31" i="40"/>
  <c r="S32" i="40" s="1"/>
  <c r="K89" i="32"/>
  <c r="I62" i="27" l="1"/>
  <c r="J27" i="41"/>
  <c r="I31" i="41"/>
  <c r="I32" i="41" s="1"/>
  <c r="N93" i="32" s="1"/>
  <c r="N92" i="32"/>
  <c r="V8" i="31"/>
  <c r="R24" i="33"/>
  <c r="R56" i="33"/>
  <c r="V16" i="31"/>
  <c r="R44" i="33"/>
  <c r="U51" i="33"/>
  <c r="U53" i="33" s="1"/>
  <c r="U22" i="33"/>
  <c r="G58" i="37"/>
  <c r="G60" i="37"/>
  <c r="G44" i="37"/>
  <c r="G57" i="37"/>
  <c r="U17" i="31"/>
  <c r="AA51" i="2"/>
  <c r="T58" i="33"/>
  <c r="T57" i="33"/>
  <c r="T60" i="33"/>
  <c r="H51" i="37"/>
  <c r="H53" i="37" s="1"/>
  <c r="H22" i="37"/>
  <c r="AC50" i="2"/>
  <c r="G23" i="37"/>
  <c r="I19" i="37"/>
  <c r="M61" i="32"/>
  <c r="T31" i="40"/>
  <c r="T32" i="40" s="1"/>
  <c r="J18" i="41"/>
  <c r="J19" i="41" s="1"/>
  <c r="K16" i="41"/>
  <c r="K92" i="44"/>
  <c r="G56" i="37" l="1"/>
  <c r="K8" i="32"/>
  <c r="S23" i="33"/>
  <c r="G24" i="37"/>
  <c r="S24" i="33" s="1"/>
  <c r="K16" i="32"/>
  <c r="H23" i="37"/>
  <c r="AD50" i="2"/>
  <c r="AC51" i="2"/>
  <c r="K17" i="32"/>
  <c r="K27" i="41"/>
  <c r="J62" i="27"/>
  <c r="J31" i="41"/>
  <c r="J32" i="41" s="1"/>
  <c r="O93" i="32" s="1"/>
  <c r="O92" i="32"/>
  <c r="F16" i="45"/>
  <c r="F16" i="32"/>
  <c r="F16" i="44"/>
  <c r="F16" i="31"/>
  <c r="F16" i="30"/>
  <c r="H60" i="37"/>
  <c r="H57" i="37"/>
  <c r="H58" i="37"/>
  <c r="F8" i="32"/>
  <c r="F8" i="30"/>
  <c r="F8" i="44"/>
  <c r="F8" i="31"/>
  <c r="F8" i="45"/>
  <c r="I51" i="37"/>
  <c r="I53" i="37" s="1"/>
  <c r="I22" i="37"/>
  <c r="U58" i="33"/>
  <c r="U57" i="33"/>
  <c r="U60" i="33"/>
  <c r="V17" i="31"/>
  <c r="AB51" i="2"/>
  <c r="J19" i="37"/>
  <c r="N61" i="32"/>
  <c r="S31" i="41"/>
  <c r="S32" i="41" s="1"/>
  <c r="K18" i="41"/>
  <c r="K19" i="41" s="1"/>
  <c r="L16" i="41"/>
  <c r="L92" i="44"/>
  <c r="L89" i="32"/>
  <c r="M89" i="32"/>
  <c r="H44" i="37" l="1"/>
  <c r="L16" i="32"/>
  <c r="L8" i="32"/>
  <c r="H24" i="37"/>
  <c r="T24" i="33" s="1"/>
  <c r="H56" i="37"/>
  <c r="T23" i="33"/>
  <c r="I23" i="37"/>
  <c r="AE50" i="2"/>
  <c r="I58" i="37"/>
  <c r="I60" i="37"/>
  <c r="I57" i="37"/>
  <c r="J51" i="37"/>
  <c r="J53" i="37" s="1"/>
  <c r="J22" i="37"/>
  <c r="K19" i="37"/>
  <c r="O61" i="32"/>
  <c r="L27" i="41"/>
  <c r="K62" i="27"/>
  <c r="K31" i="41"/>
  <c r="K32" i="41" s="1"/>
  <c r="P92" i="32"/>
  <c r="S44" i="33"/>
  <c r="S56" i="33"/>
  <c r="F17" i="31"/>
  <c r="F17" i="32"/>
  <c r="F17" i="44"/>
  <c r="F17" i="45"/>
  <c r="F17" i="30"/>
  <c r="L18" i="41"/>
  <c r="L19" i="41" s="1"/>
  <c r="M16" i="41"/>
  <c r="T31" i="41"/>
  <c r="T32" i="41" s="1"/>
  <c r="M92" i="44"/>
  <c r="N89" i="32"/>
  <c r="P93" i="32"/>
  <c r="K51" i="37" l="1"/>
  <c r="K53" i="37" s="1"/>
  <c r="K22" i="37"/>
  <c r="AF50" i="2"/>
  <c r="J23" i="37"/>
  <c r="U23" i="33"/>
  <c r="M8" i="32"/>
  <c r="I24" i="37"/>
  <c r="U24" i="33" s="1"/>
  <c r="M16" i="32"/>
  <c r="I56" i="37"/>
  <c r="I44" i="37"/>
  <c r="T56" i="33"/>
  <c r="T44" i="33"/>
  <c r="J57" i="37"/>
  <c r="J60" i="37"/>
  <c r="J58" i="37"/>
  <c r="L19" i="37"/>
  <c r="P61" i="32"/>
  <c r="M27" i="41"/>
  <c r="L62" i="27"/>
  <c r="L31" i="41"/>
  <c r="L32" i="41" s="1"/>
  <c r="Q93" i="32" s="1"/>
  <c r="Q92" i="32"/>
  <c r="L17" i="32"/>
  <c r="AD51" i="2"/>
  <c r="N16" i="41"/>
  <c r="M18" i="41"/>
  <c r="M19" i="41" s="1"/>
  <c r="N92" i="44"/>
  <c r="O89" i="32"/>
  <c r="L51" i="37" l="1"/>
  <c r="L53" i="37" s="1"/>
  <c r="L22" i="37"/>
  <c r="U44" i="33"/>
  <c r="U56" i="33"/>
  <c r="M19" i="37"/>
  <c r="Q61" i="32"/>
  <c r="J44" i="37"/>
  <c r="N8" i="32"/>
  <c r="N16" i="32"/>
  <c r="J56" i="37"/>
  <c r="J24" i="37"/>
  <c r="M62" i="27"/>
  <c r="M31" i="41"/>
  <c r="M32" i="41" s="1"/>
  <c r="R93" i="32" s="1"/>
  <c r="R92" i="32"/>
  <c r="U27" i="41"/>
  <c r="U62" i="27" s="1"/>
  <c r="M17" i="32"/>
  <c r="AE51" i="2"/>
  <c r="K23" i="37"/>
  <c r="AG50" i="2"/>
  <c r="K57" i="37"/>
  <c r="K60" i="37"/>
  <c r="K58" i="37"/>
  <c r="O16" i="41"/>
  <c r="N18" i="41"/>
  <c r="N19" i="41" s="1"/>
  <c r="O92" i="44"/>
  <c r="P89" i="32"/>
  <c r="H57" i="52" l="1"/>
  <c r="L32" i="3"/>
  <c r="H57" i="50"/>
  <c r="H57" i="1"/>
  <c r="H57" i="51"/>
  <c r="I57" i="49"/>
  <c r="M51" i="37"/>
  <c r="M53" i="37" s="1"/>
  <c r="M22" i="37"/>
  <c r="N19" i="37"/>
  <c r="R61" i="32"/>
  <c r="N17" i="32"/>
  <c r="AF51" i="2"/>
  <c r="O16" i="32"/>
  <c r="K56" i="37"/>
  <c r="O8" i="32"/>
  <c r="K44" i="37"/>
  <c r="K24" i="37"/>
  <c r="AH50" i="2"/>
  <c r="L23" i="37"/>
  <c r="L58" i="37"/>
  <c r="L57" i="37"/>
  <c r="L60" i="37"/>
  <c r="O18" i="41"/>
  <c r="O19" i="41" s="1"/>
  <c r="P16" i="41"/>
  <c r="P92" i="44"/>
  <c r="Q89" i="32"/>
  <c r="S93" i="32"/>
  <c r="AI50" i="2" l="1"/>
  <c r="M23" i="37"/>
  <c r="M60" i="37"/>
  <c r="M57" i="37"/>
  <c r="M58" i="37"/>
  <c r="L44" i="37"/>
  <c r="P8" i="32"/>
  <c r="L24" i="37"/>
  <c r="P16" i="32"/>
  <c r="L56" i="37"/>
  <c r="AG51" i="2"/>
  <c r="O17" i="32"/>
  <c r="N51" i="37"/>
  <c r="N53" i="37" s="1"/>
  <c r="N22" i="37"/>
  <c r="P18" i="41"/>
  <c r="P19" i="41" s="1"/>
  <c r="Q16" i="41"/>
  <c r="Q18" i="41" s="1"/>
  <c r="Q19" i="41" s="1"/>
  <c r="Q92" i="44"/>
  <c r="R89" i="32"/>
  <c r="T93" i="32"/>
  <c r="N60" i="37" l="1"/>
  <c r="N57" i="37"/>
  <c r="N58" i="37"/>
  <c r="M44" i="37"/>
  <c r="Q8" i="32"/>
  <c r="Q16" i="32"/>
  <c r="M24" i="37"/>
  <c r="M56" i="37"/>
  <c r="P17" i="32"/>
  <c r="AH51" i="2"/>
  <c r="N23" i="37"/>
  <c r="AJ50" i="2"/>
  <c r="V22" i="37"/>
  <c r="U19" i="41"/>
  <c r="R92" i="44"/>
  <c r="S89" i="32"/>
  <c r="U93" i="32"/>
  <c r="Q17" i="32" l="1"/>
  <c r="AI51" i="2"/>
  <c r="R8" i="32"/>
  <c r="N56" i="37"/>
  <c r="R16" i="32"/>
  <c r="N24" i="37"/>
  <c r="N44" i="37"/>
  <c r="V23" i="37"/>
  <c r="S92" i="44"/>
  <c r="T89" i="32"/>
  <c r="V93" i="32"/>
  <c r="AJ51" i="2" l="1"/>
  <c r="R17" i="32"/>
  <c r="V44" i="37"/>
  <c r="G93" i="31"/>
  <c r="G93" i="32"/>
  <c r="G93" i="44"/>
  <c r="G93" i="45"/>
  <c r="G91" i="30"/>
  <c r="T92" i="44"/>
  <c r="U89" i="32"/>
  <c r="V89" i="32"/>
  <c r="F16" i="42"/>
  <c r="R16" i="41" s="1"/>
  <c r="F31" i="42"/>
  <c r="F32" i="42" s="1"/>
  <c r="K93" i="44" s="1"/>
  <c r="G89" i="31" l="1"/>
  <c r="G89" i="44"/>
  <c r="G89" i="32"/>
  <c r="G89" i="45"/>
  <c r="G87" i="30"/>
  <c r="S16" i="41"/>
  <c r="R18" i="41"/>
  <c r="R19" i="41" s="1"/>
  <c r="U92" i="44"/>
  <c r="U27" i="42"/>
  <c r="F18" i="42"/>
  <c r="F19" i="42" s="1"/>
  <c r="K89" i="44" s="1"/>
  <c r="G16" i="42"/>
  <c r="G31" i="42"/>
  <c r="G32" i="42" s="1"/>
  <c r="L93" i="44" s="1"/>
  <c r="T16" i="41" l="1"/>
  <c r="T18" i="41" s="1"/>
  <c r="T19" i="41" s="1"/>
  <c r="S18" i="41"/>
  <c r="S19" i="41" s="1"/>
  <c r="V92" i="44"/>
  <c r="H16" i="42"/>
  <c r="G18" i="42"/>
  <c r="G19" i="42" s="1"/>
  <c r="H31" i="42"/>
  <c r="H32" i="42" s="1"/>
  <c r="M93" i="44" s="1"/>
  <c r="K92" i="45" l="1"/>
  <c r="F31" i="43"/>
  <c r="K93" i="45" s="1"/>
  <c r="L89" i="44"/>
  <c r="H18" i="42"/>
  <c r="H19" i="42" s="1"/>
  <c r="I16" i="42"/>
  <c r="I31" i="42"/>
  <c r="I32" i="42" s="1"/>
  <c r="N93" i="44" s="1"/>
  <c r="G31" i="43" l="1"/>
  <c r="G32" i="43" s="1"/>
  <c r="L93" i="45" s="1"/>
  <c r="L92" i="45"/>
  <c r="M89" i="44"/>
  <c r="J16" i="42"/>
  <c r="I18" i="42"/>
  <c r="I19" i="42" s="1"/>
  <c r="J31" i="42"/>
  <c r="J32" i="42" s="1"/>
  <c r="O93" i="44" s="1"/>
  <c r="M92" i="45" l="1"/>
  <c r="H31" i="43"/>
  <c r="H32" i="43" s="1"/>
  <c r="M93" i="45" s="1"/>
  <c r="N89" i="44"/>
  <c r="K16" i="42"/>
  <c r="J18" i="42"/>
  <c r="J19" i="42" s="1"/>
  <c r="O89" i="44" s="1"/>
  <c r="K31" i="42"/>
  <c r="K32" i="42" s="1"/>
  <c r="P93" i="44" s="1"/>
  <c r="I31" i="43" l="1"/>
  <c r="I32" i="43" s="1"/>
  <c r="N93" i="45" s="1"/>
  <c r="N92" i="45"/>
  <c r="K18" i="42"/>
  <c r="K19" i="42" s="1"/>
  <c r="L16" i="42"/>
  <c r="L31" i="42"/>
  <c r="L32" i="42" s="1"/>
  <c r="Q93" i="44" s="1"/>
  <c r="J31" i="43" l="1"/>
  <c r="J32" i="43" s="1"/>
  <c r="O93" i="45" s="1"/>
  <c r="O92" i="45"/>
  <c r="P89" i="44"/>
  <c r="M16" i="42"/>
  <c r="L18" i="42"/>
  <c r="L19" i="42" s="1"/>
  <c r="M31" i="42"/>
  <c r="M32" i="42" s="1"/>
  <c r="R93" i="44" s="1"/>
  <c r="K31" i="43" l="1"/>
  <c r="K32" i="43" s="1"/>
  <c r="P93" i="45" s="1"/>
  <c r="P92" i="45"/>
  <c r="Q89" i="44"/>
  <c r="N16" i="42"/>
  <c r="M18" i="42"/>
  <c r="M19" i="42" s="1"/>
  <c r="N31" i="43"/>
  <c r="N31" i="42"/>
  <c r="N32" i="42" s="1"/>
  <c r="S93" i="44" s="1"/>
  <c r="U27" i="43" l="1"/>
  <c r="L31" i="43"/>
  <c r="L32" i="43" s="1"/>
  <c r="Q93" i="45" s="1"/>
  <c r="Q92" i="45"/>
  <c r="R89" i="44"/>
  <c r="O16" i="42"/>
  <c r="N18" i="42"/>
  <c r="N19" i="42" s="1"/>
  <c r="O31" i="42"/>
  <c r="O31" i="43"/>
  <c r="M31" i="43" l="1"/>
  <c r="M32" i="43" s="1"/>
  <c r="R93" i="45" s="1"/>
  <c r="R92" i="45"/>
  <c r="O32" i="42"/>
  <c r="T93" i="44" s="1"/>
  <c r="S89" i="44"/>
  <c r="O18" i="42"/>
  <c r="O19" i="42" s="1"/>
  <c r="P16" i="42"/>
  <c r="Q31" i="43"/>
  <c r="P31" i="43"/>
  <c r="P31" i="42"/>
  <c r="P32" i="42" l="1"/>
  <c r="U93" i="44" s="1"/>
  <c r="T89" i="44"/>
  <c r="P18" i="42"/>
  <c r="P19" i="42" s="1"/>
  <c r="Q16" i="42"/>
  <c r="Q31" i="42"/>
  <c r="Q32" i="42" l="1"/>
  <c r="V93" i="44" s="1"/>
  <c r="U89" i="44"/>
  <c r="Q18" i="42"/>
  <c r="Q19" i="42" s="1"/>
  <c r="V89" i="44" s="1"/>
  <c r="F16" i="43"/>
  <c r="R31" i="42"/>
  <c r="R32" i="42" s="1"/>
  <c r="H89" i="45" l="1"/>
  <c r="H89" i="32"/>
  <c r="H87" i="30"/>
  <c r="H89" i="31"/>
  <c r="H89" i="44"/>
  <c r="H93" i="31"/>
  <c r="H91" i="30"/>
  <c r="H93" i="32"/>
  <c r="H93" i="44"/>
  <c r="H93" i="45"/>
  <c r="R16" i="42"/>
  <c r="G16" i="43"/>
  <c r="F18" i="43"/>
  <c r="F19" i="43" s="1"/>
  <c r="K89" i="45" s="1"/>
  <c r="U19" i="42"/>
  <c r="T31" i="42"/>
  <c r="T32" i="42" s="1"/>
  <c r="S31" i="42"/>
  <c r="S32" i="42" s="1"/>
  <c r="H16" i="43" l="1"/>
  <c r="G18" i="43"/>
  <c r="G19" i="43" s="1"/>
  <c r="R18" i="42"/>
  <c r="R19" i="42" s="1"/>
  <c r="S16" i="42"/>
  <c r="L89" i="45" l="1"/>
  <c r="S18" i="42"/>
  <c r="S19" i="42" s="1"/>
  <c r="T16" i="42"/>
  <c r="T18" i="42" s="1"/>
  <c r="T19" i="42" s="1"/>
  <c r="H18" i="43"/>
  <c r="H19" i="43" s="1"/>
  <c r="I16" i="43"/>
  <c r="M89" i="45" l="1"/>
  <c r="J16" i="43"/>
  <c r="I18" i="43"/>
  <c r="I19" i="43" s="1"/>
  <c r="N89" i="45" s="1"/>
  <c r="K16" i="43" l="1"/>
  <c r="J18" i="43"/>
  <c r="J19" i="43" s="1"/>
  <c r="O89" i="45" l="1"/>
  <c r="L16" i="43"/>
  <c r="K18" i="43"/>
  <c r="K19" i="43" s="1"/>
  <c r="P89" i="45" l="1"/>
  <c r="L18" i="43"/>
  <c r="L19" i="43" s="1"/>
  <c r="Q89" i="45" s="1"/>
  <c r="M16" i="43"/>
  <c r="N16" i="43" l="1"/>
  <c r="M18" i="43"/>
  <c r="M19" i="43" s="1"/>
  <c r="R89" i="45" l="1"/>
  <c r="N18" i="43"/>
  <c r="N19" i="43" s="1"/>
  <c r="O16" i="43"/>
  <c r="S89" i="45" l="1"/>
  <c r="P16" i="43"/>
  <c r="O18" i="43"/>
  <c r="O19" i="43" s="1"/>
  <c r="T89" i="45" l="1"/>
  <c r="P18" i="43"/>
  <c r="P19" i="43" s="1"/>
  <c r="Q16" i="43"/>
  <c r="Q18" i="43" s="1"/>
  <c r="Q19" i="43" s="1"/>
  <c r="V89" i="45" s="1"/>
  <c r="I89" i="31" l="1"/>
  <c r="I89" i="44"/>
  <c r="I89" i="45"/>
  <c r="I89" i="32"/>
  <c r="I87" i="30"/>
  <c r="U89" i="45"/>
  <c r="U19" i="43"/>
  <c r="U66" i="26" l="1"/>
  <c r="G60" i="51" l="1"/>
  <c r="G60" i="50"/>
  <c r="G60" i="52"/>
  <c r="J34" i="3"/>
  <c r="H60" i="49"/>
  <c r="L64" i="31"/>
  <c r="L65" i="31" s="1"/>
  <c r="G58" i="1"/>
  <c r="G60" i="1"/>
  <c r="L62" i="31"/>
  <c r="G61" i="52" l="1"/>
  <c r="G62" i="52"/>
  <c r="G63" i="52" s="1"/>
  <c r="G52" i="52"/>
  <c r="G62" i="50"/>
  <c r="G63" i="50" s="1"/>
  <c r="G52" i="50"/>
  <c r="G61" i="50"/>
  <c r="G61" i="51"/>
  <c r="G62" i="51"/>
  <c r="G63" i="51" s="1"/>
  <c r="G52" i="51"/>
  <c r="H62" i="49"/>
  <c r="H63" i="49" s="1"/>
  <c r="H52" i="49"/>
  <c r="H61" i="49"/>
  <c r="G62" i="1"/>
  <c r="G63" i="1" s="1"/>
  <c r="G52" i="1"/>
  <c r="G61" i="1"/>
  <c r="O57" i="31" l="1"/>
  <c r="O58" i="31" s="1"/>
  <c r="N57" i="31"/>
  <c r="N58" i="31" s="1"/>
  <c r="V57" i="31"/>
  <c r="T57" i="31"/>
  <c r="T58" i="31" s="1"/>
  <c r="R60" i="31"/>
  <c r="L57" i="31"/>
  <c r="L58" i="31" s="1"/>
  <c r="S60" i="31"/>
  <c r="S57" i="31"/>
  <c r="S58" i="31" s="1"/>
  <c r="U57" i="31"/>
  <c r="U58" i="31" s="1"/>
  <c r="M57" i="31"/>
  <c r="M58" i="31" s="1"/>
  <c r="R57" i="31"/>
  <c r="R58" i="31" s="1"/>
  <c r="Q60" i="31"/>
  <c r="Q57" i="31"/>
  <c r="Q58" i="31" s="1"/>
  <c r="O60" i="31"/>
  <c r="P60" i="31"/>
  <c r="P57" i="31"/>
  <c r="P58" i="31" s="1"/>
  <c r="V60" i="31"/>
  <c r="N60" i="31"/>
  <c r="U60" i="31"/>
  <c r="M60" i="31"/>
  <c r="T60" i="31"/>
  <c r="L60" i="31"/>
  <c r="V58" i="31" l="1"/>
  <c r="F57" i="32"/>
  <c r="F56" i="30"/>
  <c r="F57" i="44"/>
  <c r="F57" i="31"/>
  <c r="F57" i="45"/>
  <c r="F60" i="31"/>
  <c r="F60" i="45"/>
  <c r="F60" i="32"/>
  <c r="F59" i="30"/>
  <c r="F60" i="44"/>
  <c r="G53" i="1"/>
  <c r="F58" i="45" l="1"/>
  <c r="F58" i="32"/>
  <c r="F57" i="30"/>
  <c r="F58" i="31"/>
  <c r="F58" i="44"/>
  <c r="G56" i="1"/>
  <c r="H48" i="33"/>
  <c r="H50" i="33" s="1"/>
  <c r="H53" i="33" s="1"/>
  <c r="V11" i="33"/>
  <c r="H21" i="33"/>
  <c r="R49" i="2" s="1"/>
  <c r="G21" i="33"/>
  <c r="Q49" i="2" s="1"/>
  <c r="G48" i="33"/>
  <c r="G50" i="33" s="1"/>
  <c r="G53" i="33" s="1"/>
  <c r="G58" i="33" s="1"/>
  <c r="S13" i="24"/>
  <c r="T12" i="24"/>
  <c r="U15" i="24"/>
  <c r="T11" i="24"/>
  <c r="T21" i="24" s="1"/>
  <c r="T23" i="24" s="1"/>
  <c r="H23" i="33" s="1"/>
  <c r="L16" i="31" s="1"/>
  <c r="L5" i="31"/>
  <c r="S15" i="24"/>
  <c r="U14" i="24"/>
  <c r="U16" i="24"/>
  <c r="S12" i="24"/>
  <c r="S14" i="24"/>
  <c r="S11" i="24"/>
  <c r="S21" i="24" s="1"/>
  <c r="S23" i="24" s="1"/>
  <c r="G23" i="33" s="1"/>
  <c r="K5" i="31"/>
  <c r="U13" i="24"/>
  <c r="I21" i="33"/>
  <c r="S49" i="2" s="1"/>
  <c r="T16" i="24"/>
  <c r="U12" i="24"/>
  <c r="T15" i="24"/>
  <c r="T14" i="24"/>
  <c r="S16" i="24"/>
  <c r="T13" i="24"/>
  <c r="M5" i="31"/>
  <c r="U11" i="24"/>
  <c r="U21" i="24" s="1"/>
  <c r="U23" i="24" s="1"/>
  <c r="I23" i="33" s="1"/>
  <c r="I48" i="33"/>
  <c r="I50" i="33" s="1"/>
  <c r="I53" i="33" s="1"/>
  <c r="V21" i="33" l="1"/>
  <c r="S24" i="24"/>
  <c r="G24" i="33" s="1"/>
  <c r="U48" i="24"/>
  <c r="U50" i="24" s="1"/>
  <c r="U53" i="24" s="1"/>
  <c r="U57" i="24" s="1"/>
  <c r="T44" i="24"/>
  <c r="H56" i="33"/>
  <c r="U56" i="24"/>
  <c r="T56" i="24"/>
  <c r="T24" i="24"/>
  <c r="H24" i="33" s="1"/>
  <c r="I58" i="33"/>
  <c r="I60" i="33"/>
  <c r="I57" i="33"/>
  <c r="U44" i="24"/>
  <c r="U24" i="24"/>
  <c r="I24" i="33" s="1"/>
  <c r="T48" i="24"/>
  <c r="T50" i="24" s="1"/>
  <c r="T53" i="24" s="1"/>
  <c r="K8" i="31"/>
  <c r="G56" i="33"/>
  <c r="G44" i="33"/>
  <c r="Q51" i="2" s="1"/>
  <c r="V23" i="33"/>
  <c r="K16" i="31"/>
  <c r="S44" i="24"/>
  <c r="S56" i="24"/>
  <c r="I56" i="33"/>
  <c r="M8" i="31"/>
  <c r="I44" i="33"/>
  <c r="M16" i="31"/>
  <c r="G60" i="33"/>
  <c r="G57" i="33"/>
  <c r="H57" i="33"/>
  <c r="H60" i="33"/>
  <c r="H58" i="33"/>
  <c r="L8" i="31"/>
  <c r="H44" i="33"/>
  <c r="S48" i="24"/>
  <c r="S50" i="24" s="1"/>
  <c r="S53" i="24" s="1"/>
  <c r="L17" i="31" l="1"/>
  <c r="R51" i="2"/>
  <c r="M17" i="31"/>
  <c r="S51" i="2"/>
  <c r="U58" i="24"/>
  <c r="U60" i="24"/>
  <c r="K17" i="31"/>
  <c r="V44" i="33"/>
  <c r="S58" i="24"/>
  <c r="S57" i="24"/>
  <c r="S60" i="24"/>
  <c r="T58" i="24"/>
  <c r="T60" i="24"/>
  <c r="T57" i="24"/>
  <c r="G27" i="1"/>
  <c r="G12" i="23" s="1"/>
  <c r="H12" i="24" s="1"/>
  <c r="H11" i="24" s="1"/>
  <c r="L5" i="30" l="1"/>
  <c r="H21" i="24"/>
  <c r="F49" i="2" s="1"/>
  <c r="H48" i="24"/>
  <c r="H50" i="24" s="1"/>
  <c r="G17" i="23"/>
  <c r="F42" i="2" s="1"/>
  <c r="L44" i="30" l="1"/>
  <c r="G59" i="23"/>
  <c r="G63" i="23"/>
  <c r="G64" i="23" s="1"/>
  <c r="G26" i="23"/>
  <c r="H20" i="24" l="1"/>
  <c r="L62" i="30"/>
  <c r="L48" i="30"/>
  <c r="L49" i="30" s="1"/>
  <c r="G65" i="23"/>
  <c r="L61" i="30"/>
  <c r="G61" i="23"/>
  <c r="L56" i="30"/>
  <c r="L57" i="30" s="1"/>
  <c r="L55" i="30"/>
  <c r="L45" i="30"/>
  <c r="L53" i="30"/>
  <c r="L51" i="30"/>
  <c r="L47" i="30"/>
  <c r="M45" i="30"/>
  <c r="H52" i="24" l="1"/>
  <c r="H22" i="24"/>
  <c r="F50" i="2" s="1"/>
  <c r="L63" i="30"/>
  <c r="L64" i="30" s="1"/>
  <c r="L59" i="30"/>
  <c r="H23" i="24" l="1"/>
  <c r="G24" i="25"/>
  <c r="H53" i="24"/>
  <c r="H24" i="24" l="1"/>
  <c r="L8" i="30"/>
  <c r="L16" i="30"/>
  <c r="H56" i="24"/>
  <c r="H44" i="24"/>
  <c r="H60" i="24"/>
  <c r="H57" i="24"/>
  <c r="H58" i="24"/>
  <c r="G11" i="25"/>
  <c r="G14" i="25" s="1"/>
  <c r="G25" i="25"/>
  <c r="G32" i="25"/>
  <c r="L91" i="30" s="1"/>
  <c r="L17" i="30" l="1"/>
  <c r="F51" i="2"/>
  <c r="L89" i="30"/>
  <c r="G20" i="25"/>
  <c r="L93" i="30"/>
  <c r="L86" i="30"/>
  <c r="H11" i="25"/>
  <c r="H14" i="25" s="1"/>
  <c r="H20" i="25" l="1"/>
  <c r="M86" i="30"/>
  <c r="M93" i="30"/>
  <c r="I11" i="25"/>
  <c r="I14" i="25" s="1"/>
  <c r="G33" i="25"/>
  <c r="L88" i="30"/>
  <c r="L92" i="30" l="1"/>
  <c r="L96" i="30" s="1"/>
  <c r="L97" i="30" s="1"/>
  <c r="G35" i="25"/>
  <c r="G36" i="25" s="1"/>
  <c r="I20" i="25"/>
  <c r="J11" i="25"/>
  <c r="J14" i="25" s="1"/>
  <c r="N86" i="30"/>
  <c r="N93" i="30"/>
  <c r="H33" i="25"/>
  <c r="M88" i="30"/>
  <c r="M92" i="30" l="1"/>
  <c r="M96" i="30" s="1"/>
  <c r="M97" i="30" s="1"/>
  <c r="H35" i="25"/>
  <c r="H36" i="25" s="1"/>
  <c r="J20" i="25"/>
  <c r="K11" i="25"/>
  <c r="K14" i="25" s="1"/>
  <c r="O86" i="30"/>
  <c r="O93" i="30"/>
  <c r="I33" i="25"/>
  <c r="N88" i="30"/>
  <c r="Q30" i="1"/>
  <c r="Q13" i="23" s="1"/>
  <c r="I35" i="25" l="1"/>
  <c r="I36" i="25" s="1"/>
  <c r="N92" i="30"/>
  <c r="N96" i="30" s="1"/>
  <c r="N97" i="30" s="1"/>
  <c r="K20" i="25"/>
  <c r="P93" i="30"/>
  <c r="L11" i="25"/>
  <c r="L14" i="25" s="1"/>
  <c r="P86" i="30"/>
  <c r="J33" i="25"/>
  <c r="O88" i="30"/>
  <c r="Q17" i="23"/>
  <c r="P42" i="2" s="1"/>
  <c r="R13" i="24"/>
  <c r="R11" i="24" s="1"/>
  <c r="J35" i="25" l="1"/>
  <c r="J36" i="25" s="1"/>
  <c r="O92" i="30"/>
  <c r="O96" i="30" s="1"/>
  <c r="O97" i="30" s="1"/>
  <c r="Q86" i="30"/>
  <c r="Q93" i="30"/>
  <c r="L20" i="25"/>
  <c r="K33" i="25"/>
  <c r="P88" i="30"/>
  <c r="R21" i="24"/>
  <c r="P49" i="2" s="1"/>
  <c r="V5" i="30"/>
  <c r="R48" i="24"/>
  <c r="R50" i="24" s="1"/>
  <c r="Q26" i="23"/>
  <c r="V48" i="30" s="1"/>
  <c r="V44" i="30"/>
  <c r="Q63" i="23"/>
  <c r="Q64" i="23" s="1"/>
  <c r="Q59" i="23"/>
  <c r="R20" i="24" l="1"/>
  <c r="V62" i="30"/>
  <c r="K35" i="25"/>
  <c r="K36" i="25" s="1"/>
  <c r="P92" i="30"/>
  <c r="P96" i="30" s="1"/>
  <c r="P97" i="30" s="1"/>
  <c r="L33" i="25"/>
  <c r="Q88" i="30"/>
  <c r="Q61" i="23"/>
  <c r="V59" i="30" s="1"/>
  <c r="V56" i="30"/>
  <c r="V47" i="30"/>
  <c r="V55" i="30"/>
  <c r="V53" i="30"/>
  <c r="E44" i="30"/>
  <c r="E45" i="44"/>
  <c r="E45" i="32"/>
  <c r="E45" i="31"/>
  <c r="V51" i="30"/>
  <c r="E45" i="45"/>
  <c r="E49" i="44"/>
  <c r="E49" i="32"/>
  <c r="V49" i="30"/>
  <c r="E49" i="45"/>
  <c r="E48" i="30"/>
  <c r="E49" i="31"/>
  <c r="E5" i="30"/>
  <c r="E5" i="45"/>
  <c r="E5" i="32"/>
  <c r="E5" i="31"/>
  <c r="E5" i="44"/>
  <c r="Q65" i="23"/>
  <c r="V63" i="30" s="1"/>
  <c r="V61" i="30"/>
  <c r="Q92" i="30" l="1"/>
  <c r="Q96" i="30" s="1"/>
  <c r="Q97" i="30" s="1"/>
  <c r="L35" i="25"/>
  <c r="L36" i="25" s="1"/>
  <c r="E63" i="45"/>
  <c r="E62" i="30"/>
  <c r="E63" i="31"/>
  <c r="E63" i="32"/>
  <c r="E63" i="44"/>
  <c r="R52" i="24"/>
  <c r="R22" i="24"/>
  <c r="E54" i="32"/>
  <c r="E54" i="44"/>
  <c r="E53" i="30"/>
  <c r="E54" i="45"/>
  <c r="E54" i="31"/>
  <c r="E56" i="32"/>
  <c r="E56" i="44"/>
  <c r="E56" i="45"/>
  <c r="E56" i="31"/>
  <c r="E55" i="30"/>
  <c r="E48" i="32"/>
  <c r="E48" i="45"/>
  <c r="E48" i="31"/>
  <c r="E48" i="44"/>
  <c r="E47" i="30"/>
  <c r="E62" i="31"/>
  <c r="E62" i="45"/>
  <c r="E62" i="32"/>
  <c r="E61" i="30"/>
  <c r="E62" i="44"/>
  <c r="E64" i="44"/>
  <c r="V64" i="30"/>
  <c r="E63" i="30"/>
  <c r="E64" i="45"/>
  <c r="E64" i="32"/>
  <c r="E64" i="31"/>
  <c r="E49" i="30"/>
  <c r="E50" i="31"/>
  <c r="E50" i="45"/>
  <c r="E50" i="32"/>
  <c r="E50" i="44"/>
  <c r="E52" i="44"/>
  <c r="E52" i="45"/>
  <c r="E51" i="30"/>
  <c r="E52" i="31"/>
  <c r="E52" i="32"/>
  <c r="E57" i="44"/>
  <c r="E57" i="31"/>
  <c r="E57" i="32"/>
  <c r="V57" i="30"/>
  <c r="E57" i="45"/>
  <c r="E56" i="30"/>
  <c r="E60" i="45"/>
  <c r="E60" i="32"/>
  <c r="E60" i="44"/>
  <c r="E60" i="31"/>
  <c r="E59" i="30"/>
  <c r="R23" i="24" l="1"/>
  <c r="R24" i="24" s="1"/>
  <c r="P50" i="2"/>
  <c r="Q24" i="25"/>
  <c r="R53" i="24"/>
  <c r="E58" i="44"/>
  <c r="E57" i="30"/>
  <c r="E58" i="32"/>
  <c r="E58" i="31"/>
  <c r="E58" i="45"/>
  <c r="E65" i="32"/>
  <c r="E65" i="31"/>
  <c r="E65" i="44"/>
  <c r="E64" i="30"/>
  <c r="E65" i="45"/>
  <c r="M30" i="1"/>
  <c r="M13" i="23" s="1"/>
  <c r="M17" i="23" s="1"/>
  <c r="L42" i="2" s="1"/>
  <c r="V16" i="30" l="1"/>
  <c r="E16" i="30" s="1"/>
  <c r="R56" i="24"/>
  <c r="R44" i="24"/>
  <c r="V17" i="30" s="1"/>
  <c r="E17" i="30" s="1"/>
  <c r="V8" i="30"/>
  <c r="E8" i="45" s="1"/>
  <c r="E16" i="32"/>
  <c r="E16" i="45"/>
  <c r="R60" i="24"/>
  <c r="R58" i="24"/>
  <c r="R57" i="24"/>
  <c r="Q25" i="25"/>
  <c r="V89" i="30" s="1"/>
  <c r="Q32" i="25"/>
  <c r="V91" i="30" s="1"/>
  <c r="N13" i="24"/>
  <c r="N11" i="24" s="1"/>
  <c r="N48" i="24" s="1"/>
  <c r="N50" i="24" s="1"/>
  <c r="M63" i="23"/>
  <c r="M64" i="23" s="1"/>
  <c r="M59" i="23"/>
  <c r="M26" i="23"/>
  <c r="R44" i="30"/>
  <c r="E16" i="31" l="1"/>
  <c r="E8" i="44"/>
  <c r="E8" i="32"/>
  <c r="E8" i="31"/>
  <c r="E8" i="30"/>
  <c r="E16" i="44"/>
  <c r="P51" i="2"/>
  <c r="E17" i="44"/>
  <c r="E17" i="31"/>
  <c r="E17" i="32"/>
  <c r="E17" i="45"/>
  <c r="N20" i="24"/>
  <c r="R62" i="30"/>
  <c r="E91" i="31"/>
  <c r="E89" i="30"/>
  <c r="E91" i="44"/>
  <c r="E91" i="45"/>
  <c r="E91" i="32"/>
  <c r="R5" i="30"/>
  <c r="E93" i="32"/>
  <c r="E93" i="44"/>
  <c r="E93" i="45"/>
  <c r="E93" i="31"/>
  <c r="E91" i="30"/>
  <c r="N21" i="24"/>
  <c r="L49" i="2" s="1"/>
  <c r="R55" i="30"/>
  <c r="R47" i="30"/>
  <c r="R45" i="30"/>
  <c r="R51" i="30"/>
  <c r="R53" i="30"/>
  <c r="R48" i="30"/>
  <c r="R49" i="30" s="1"/>
  <c r="M61" i="23"/>
  <c r="R56" i="30"/>
  <c r="R57" i="30" s="1"/>
  <c r="M65" i="23"/>
  <c r="R61" i="30"/>
  <c r="N52" i="24" l="1"/>
  <c r="N22" i="24"/>
  <c r="L50" i="2" s="1"/>
  <c r="R59" i="30"/>
  <c r="R63" i="30"/>
  <c r="R64" i="30" s="1"/>
  <c r="M24" i="25" l="1"/>
  <c r="N53" i="24"/>
  <c r="N23" i="24"/>
  <c r="P30" i="1"/>
  <c r="P13" i="23" s="1"/>
  <c r="N24" i="24" l="1"/>
  <c r="R16" i="30"/>
  <c r="R8" i="30"/>
  <c r="N56" i="24"/>
  <c r="N44" i="24"/>
  <c r="N58" i="24"/>
  <c r="N60" i="24"/>
  <c r="M11" i="25"/>
  <c r="M14" i="25" s="1"/>
  <c r="N57" i="24"/>
  <c r="M25" i="25"/>
  <c r="M32" i="25"/>
  <c r="R91" i="30" s="1"/>
  <c r="P17" i="23"/>
  <c r="P63" i="23" s="1"/>
  <c r="P64" i="23" s="1"/>
  <c r="Q13" i="24"/>
  <c r="Q11" i="24" s="1"/>
  <c r="Q21" i="24" s="1"/>
  <c r="O49" i="2" s="1"/>
  <c r="P59" i="23"/>
  <c r="P26" i="23"/>
  <c r="U48" i="30" s="1"/>
  <c r="R17" i="30" l="1"/>
  <c r="L51" i="2"/>
  <c r="U44" i="30"/>
  <c r="U53" i="30" s="1"/>
  <c r="O42" i="2"/>
  <c r="R86" i="30"/>
  <c r="M20" i="25"/>
  <c r="R93" i="30"/>
  <c r="U5" i="30"/>
  <c r="Q20" i="24"/>
  <c r="U62" i="30"/>
  <c r="Q48" i="24"/>
  <c r="Q50" i="24" s="1"/>
  <c r="R89" i="30"/>
  <c r="U61" i="30"/>
  <c r="P65" i="23"/>
  <c r="U63" i="30" s="1"/>
  <c r="U56" i="30"/>
  <c r="P61" i="23"/>
  <c r="U59" i="30" s="1"/>
  <c r="U47" i="30" l="1"/>
  <c r="U55" i="30"/>
  <c r="U51" i="30"/>
  <c r="V45" i="30"/>
  <c r="E46" i="45" s="1"/>
  <c r="U57" i="30"/>
  <c r="U64" i="30"/>
  <c r="U49" i="30"/>
  <c r="Q52" i="24"/>
  <c r="P24" i="25" s="1"/>
  <c r="Q22" i="24"/>
  <c r="M33" i="25"/>
  <c r="R88" i="30"/>
  <c r="E46" i="44"/>
  <c r="N30" i="1"/>
  <c r="N13" i="23" s="1"/>
  <c r="E46" i="31" l="1"/>
  <c r="E46" i="32"/>
  <c r="E45" i="30"/>
  <c r="Q23" i="24"/>
  <c r="Q56" i="24" s="1"/>
  <c r="O50" i="2"/>
  <c r="P25" i="25"/>
  <c r="U89" i="30" s="1"/>
  <c r="P32" i="25"/>
  <c r="U91" i="30" s="1"/>
  <c r="M35" i="25"/>
  <c r="M36" i="25" s="1"/>
  <c r="R92" i="30"/>
  <c r="R96" i="30" s="1"/>
  <c r="R97" i="30" s="1"/>
  <c r="Q53" i="24"/>
  <c r="N17" i="23"/>
  <c r="M42" i="2" s="1"/>
  <c r="O13" i="24"/>
  <c r="O11" i="24" s="1"/>
  <c r="U16" i="30" l="1"/>
  <c r="Q24" i="24"/>
  <c r="Q44" i="24"/>
  <c r="U17" i="30" s="1"/>
  <c r="U8" i="30"/>
  <c r="Q60" i="24"/>
  <c r="Q57" i="24"/>
  <c r="Q58" i="24"/>
  <c r="S5" i="30"/>
  <c r="O21" i="24"/>
  <c r="M49" i="2" s="1"/>
  <c r="O48" i="24"/>
  <c r="O50" i="24" s="1"/>
  <c r="N26" i="23"/>
  <c r="S44" i="30"/>
  <c r="N63" i="23"/>
  <c r="N64" i="23" s="1"/>
  <c r="N59" i="23"/>
  <c r="O51" i="2" l="1"/>
  <c r="O20" i="24"/>
  <c r="S62" i="30"/>
  <c r="N61" i="23"/>
  <c r="S56" i="30"/>
  <c r="S57" i="30" s="1"/>
  <c r="S61" i="30"/>
  <c r="N65" i="23"/>
  <c r="S55" i="30"/>
  <c r="S51" i="30"/>
  <c r="S53" i="30"/>
  <c r="S45" i="30"/>
  <c r="S47" i="30"/>
  <c r="S48" i="30"/>
  <c r="S49" i="30" s="1"/>
  <c r="O52" i="24" l="1"/>
  <c r="O22" i="24"/>
  <c r="M50" i="2" s="1"/>
  <c r="S63" i="30"/>
  <c r="S64" i="30" s="1"/>
  <c r="S59" i="30"/>
  <c r="O23" i="24" l="1"/>
  <c r="N24" i="25"/>
  <c r="O53" i="24"/>
  <c r="O57" i="24" l="1"/>
  <c r="N11" i="25"/>
  <c r="N14" i="25" s="1"/>
  <c r="O60" i="24"/>
  <c r="O58" i="24"/>
  <c r="N25" i="25"/>
  <c r="N32" i="25"/>
  <c r="S91" i="30" s="1"/>
  <c r="O44" i="24"/>
  <c r="S16" i="30"/>
  <c r="S8" i="30"/>
  <c r="O24" i="24"/>
  <c r="O56" i="24"/>
  <c r="O30" i="1"/>
  <c r="O13" i="23" s="1"/>
  <c r="O17" i="23" s="1"/>
  <c r="N42" i="2" s="1"/>
  <c r="S17" i="30" l="1"/>
  <c r="M51" i="2"/>
  <c r="S93" i="30"/>
  <c r="S86" i="30"/>
  <c r="N20" i="25"/>
  <c r="S89" i="30"/>
  <c r="P13" i="24"/>
  <c r="P11" i="24" s="1"/>
  <c r="P21" i="24" s="1"/>
  <c r="N49" i="2" s="1"/>
  <c r="O26" i="23"/>
  <c r="O63" i="23"/>
  <c r="O64" i="23" s="1"/>
  <c r="T44" i="30"/>
  <c r="O59" i="23"/>
  <c r="U17" i="23"/>
  <c r="P48" i="24" l="1"/>
  <c r="P50" i="24" s="1"/>
  <c r="P20" i="24"/>
  <c r="T62" i="30"/>
  <c r="U64" i="23"/>
  <c r="T5" i="30"/>
  <c r="V11" i="24"/>
  <c r="S88" i="30"/>
  <c r="N33" i="25"/>
  <c r="G44" i="49"/>
  <c r="G46" i="49" s="1"/>
  <c r="G47" i="49" s="1"/>
  <c r="F44" i="51"/>
  <c r="F46" i="51" s="1"/>
  <c r="F47" i="51" s="1"/>
  <c r="F44" i="1"/>
  <c r="F46" i="1" s="1"/>
  <c r="F47" i="1" s="1"/>
  <c r="F44" i="52"/>
  <c r="F46" i="52" s="1"/>
  <c r="F47" i="52" s="1"/>
  <c r="F44" i="50"/>
  <c r="F46" i="50" s="1"/>
  <c r="F47" i="50" s="1"/>
  <c r="H27" i="3"/>
  <c r="T56" i="30"/>
  <c r="T57" i="30" s="1"/>
  <c r="O61" i="23"/>
  <c r="U59" i="23"/>
  <c r="T61" i="30"/>
  <c r="O65" i="23"/>
  <c r="U63" i="23"/>
  <c r="T47" i="30"/>
  <c r="T45" i="30"/>
  <c r="U45" i="30"/>
  <c r="T53" i="30"/>
  <c r="T51" i="30"/>
  <c r="T55" i="30"/>
  <c r="V21" i="24"/>
  <c r="U26" i="23"/>
  <c r="H29" i="3" s="1"/>
  <c r="T48" i="30"/>
  <c r="T49" i="30" s="1"/>
  <c r="N35" i="25" l="1"/>
  <c r="N36" i="25" s="1"/>
  <c r="S92" i="30"/>
  <c r="S96" i="30" s="1"/>
  <c r="S97" i="30" s="1"/>
  <c r="F59" i="1"/>
  <c r="F59" i="51"/>
  <c r="F59" i="50"/>
  <c r="F59" i="52"/>
  <c r="G59" i="49"/>
  <c r="H32" i="3"/>
  <c r="P52" i="24"/>
  <c r="P22" i="24"/>
  <c r="N50" i="2" s="1"/>
  <c r="F58" i="51"/>
  <c r="G58" i="49"/>
  <c r="H33" i="3"/>
  <c r="F58" i="52"/>
  <c r="F58" i="50"/>
  <c r="F58" i="1"/>
  <c r="T63" i="30"/>
  <c r="T64" i="30" s="1"/>
  <c r="U65" i="23"/>
  <c r="F53" i="52"/>
  <c r="G53" i="49"/>
  <c r="H31" i="3"/>
  <c r="F53" i="50"/>
  <c r="F53" i="1"/>
  <c r="F53" i="51"/>
  <c r="U61" i="23"/>
  <c r="T59" i="30"/>
  <c r="V22" i="24" l="1"/>
  <c r="P23" i="24"/>
  <c r="O24" i="25"/>
  <c r="P53" i="24"/>
  <c r="F60" i="51"/>
  <c r="F60" i="50"/>
  <c r="G60" i="49"/>
  <c r="F60" i="52"/>
  <c r="F60" i="1"/>
  <c r="H34" i="3"/>
  <c r="F56" i="1"/>
  <c r="F56" i="51"/>
  <c r="F56" i="50"/>
  <c r="F56" i="52"/>
  <c r="G56" i="49"/>
  <c r="F54" i="51"/>
  <c r="G54" i="51"/>
  <c r="H54" i="51"/>
  <c r="G54" i="1"/>
  <c r="H54" i="1"/>
  <c r="F54" i="1"/>
  <c r="F54" i="50"/>
  <c r="G54" i="50"/>
  <c r="H54" i="50"/>
  <c r="G54" i="49"/>
  <c r="I54" i="49"/>
  <c r="H54" i="49"/>
  <c r="H54" i="52"/>
  <c r="G54" i="52"/>
  <c r="F54" i="52"/>
  <c r="P60" i="24" l="1"/>
  <c r="P57" i="24"/>
  <c r="P58" i="24"/>
  <c r="O11" i="25"/>
  <c r="O14" i="25" s="1"/>
  <c r="O25" i="25"/>
  <c r="O32" i="25"/>
  <c r="T91" i="30" s="1"/>
  <c r="V23" i="24"/>
  <c r="P44" i="24"/>
  <c r="N51" i="2" s="1"/>
  <c r="T16" i="30"/>
  <c r="T8" i="30"/>
  <c r="P56" i="24"/>
  <c r="P24" i="24"/>
  <c r="G51" i="1"/>
  <c r="F52" i="1"/>
  <c r="F51" i="1"/>
  <c r="F62" i="1"/>
  <c r="F63" i="1" s="1"/>
  <c r="F61" i="1"/>
  <c r="H51" i="1"/>
  <c r="F62" i="50"/>
  <c r="F63" i="50" s="1"/>
  <c r="F61" i="50"/>
  <c r="F52" i="50"/>
  <c r="G51" i="50"/>
  <c r="F51" i="50"/>
  <c r="H51" i="50"/>
  <c r="F62" i="52"/>
  <c r="F63" i="52" s="1"/>
  <c r="F52" i="52"/>
  <c r="G51" i="52"/>
  <c r="H51" i="52"/>
  <c r="F51" i="52"/>
  <c r="F61" i="52"/>
  <c r="G62" i="49"/>
  <c r="G63" i="49" s="1"/>
  <c r="I51" i="49"/>
  <c r="H51" i="49"/>
  <c r="G51" i="49"/>
  <c r="G61" i="49"/>
  <c r="G52" i="49"/>
  <c r="F51" i="51"/>
  <c r="H51" i="51"/>
  <c r="G51" i="51"/>
  <c r="F61" i="51"/>
  <c r="F52" i="51"/>
  <c r="F62" i="51"/>
  <c r="F63" i="51" s="1"/>
  <c r="V44" i="24" l="1"/>
  <c r="T17" i="30"/>
  <c r="T89" i="30"/>
  <c r="U25" i="25"/>
  <c r="O20" i="25"/>
  <c r="T93" i="30"/>
  <c r="P11" i="25"/>
  <c r="P14" i="25" s="1"/>
  <c r="T86" i="30"/>
  <c r="T88" i="30" l="1"/>
  <c r="O33" i="25"/>
  <c r="U93" i="30"/>
  <c r="Q11" i="25"/>
  <c r="Q14" i="25" s="1"/>
  <c r="U86" i="30"/>
  <c r="P20" i="25"/>
  <c r="U14" i="25"/>
  <c r="F11" i="40" l="1"/>
  <c r="V93" i="30"/>
  <c r="Q20" i="25"/>
  <c r="V86" i="30"/>
  <c r="T92" i="30"/>
  <c r="T96" i="30" s="1"/>
  <c r="T97" i="30" s="1"/>
  <c r="O35" i="25"/>
  <c r="O36" i="25" s="1"/>
  <c r="P33" i="25"/>
  <c r="U88" i="30"/>
  <c r="E86" i="30" l="1"/>
  <c r="E88" i="45"/>
  <c r="E88" i="44"/>
  <c r="E88" i="32"/>
  <c r="E88" i="31"/>
  <c r="U20" i="25"/>
  <c r="V88" i="30"/>
  <c r="Q33" i="25"/>
  <c r="P35" i="25"/>
  <c r="P36" i="25" s="1"/>
  <c r="U92" i="30"/>
  <c r="U96" i="30" s="1"/>
  <c r="U97" i="30" s="1"/>
  <c r="E95" i="32"/>
  <c r="E95" i="31"/>
  <c r="E95" i="44"/>
  <c r="E95" i="45"/>
  <c r="E93" i="30"/>
  <c r="R11" i="25"/>
  <c r="R14" i="25" s="1"/>
  <c r="R20" i="25" s="1"/>
  <c r="R33" i="25" s="1"/>
  <c r="R35" i="25" s="1"/>
  <c r="R36" i="25" s="1"/>
  <c r="F14" i="40"/>
  <c r="E90" i="32" l="1"/>
  <c r="E90" i="44"/>
  <c r="E90" i="45"/>
  <c r="E88" i="30"/>
  <c r="E90" i="31"/>
  <c r="Q35" i="25"/>
  <c r="Q36" i="25" s="1"/>
  <c r="V92" i="30"/>
  <c r="U33" i="25"/>
  <c r="K95" i="31"/>
  <c r="K88" i="31"/>
  <c r="G11" i="40"/>
  <c r="F20" i="40"/>
  <c r="E94" i="45" l="1"/>
  <c r="E92" i="30"/>
  <c r="E94" i="31"/>
  <c r="E94" i="44"/>
  <c r="E94" i="32"/>
  <c r="V96" i="30"/>
  <c r="K90" i="31"/>
  <c r="F33" i="40"/>
  <c r="S11" i="25"/>
  <c r="S14" i="25" s="1"/>
  <c r="S20" i="25" s="1"/>
  <c r="S33" i="25" s="1"/>
  <c r="S35" i="25" s="1"/>
  <c r="S36" i="25" s="1"/>
  <c r="G14" i="40"/>
  <c r="F35" i="40" l="1"/>
  <c r="F36" i="40" s="1"/>
  <c r="K94" i="31"/>
  <c r="K98" i="31" s="1"/>
  <c r="K99" i="31" s="1"/>
  <c r="H11" i="40"/>
  <c r="L88" i="31"/>
  <c r="G20" i="40"/>
  <c r="L95" i="31"/>
  <c r="E98" i="31"/>
  <c r="V97" i="30"/>
  <c r="E98" i="45"/>
  <c r="E98" i="44"/>
  <c r="E96" i="30"/>
  <c r="E98" i="32"/>
  <c r="E97" i="30" l="1"/>
  <c r="E99" i="31"/>
  <c r="E99" i="44"/>
  <c r="E99" i="45"/>
  <c r="E99" i="32"/>
  <c r="L90" i="31"/>
  <c r="G33" i="40"/>
  <c r="T11" i="25"/>
  <c r="T14" i="25" s="1"/>
  <c r="T20" i="25" s="1"/>
  <c r="T33" i="25" s="1"/>
  <c r="T35" i="25" s="1"/>
  <c r="T36" i="25" s="1"/>
  <c r="H14" i="40"/>
  <c r="G35" i="40" l="1"/>
  <c r="G36" i="40" s="1"/>
  <c r="L94" i="31"/>
  <c r="L98" i="31" s="1"/>
  <c r="L99" i="31" s="1"/>
  <c r="H20" i="40"/>
  <c r="M95" i="31"/>
  <c r="M88" i="31"/>
  <c r="I11" i="40"/>
  <c r="I14" i="40" s="1"/>
  <c r="N95" i="31" l="1"/>
  <c r="N88" i="31"/>
  <c r="J11" i="40"/>
  <c r="J14" i="40" s="1"/>
  <c r="I20" i="40"/>
  <c r="H33" i="40"/>
  <c r="M90" i="31"/>
  <c r="N90" i="31" l="1"/>
  <c r="I33" i="40"/>
  <c r="H35" i="40"/>
  <c r="H36" i="40" s="1"/>
  <c r="M94" i="31"/>
  <c r="M98" i="31" s="1"/>
  <c r="M99" i="31" s="1"/>
  <c r="K11" i="40"/>
  <c r="K14" i="40" s="1"/>
  <c r="O95" i="31"/>
  <c r="J20" i="40"/>
  <c r="O88" i="31"/>
  <c r="J33" i="40" l="1"/>
  <c r="O90" i="31"/>
  <c r="P88" i="31"/>
  <c r="L11" i="40"/>
  <c r="L14" i="40" s="1"/>
  <c r="P95" i="31"/>
  <c r="K20" i="40"/>
  <c r="I35" i="40"/>
  <c r="I36" i="40" s="1"/>
  <c r="N94" i="31"/>
  <c r="N98" i="31" s="1"/>
  <c r="N99" i="31" s="1"/>
  <c r="P90" i="31" l="1"/>
  <c r="K33" i="40"/>
  <c r="M11" i="40"/>
  <c r="M14" i="40" s="1"/>
  <c r="Q95" i="31"/>
  <c r="L20" i="40"/>
  <c r="Q88" i="31"/>
  <c r="O94" i="31"/>
  <c r="O98" i="31" s="1"/>
  <c r="O99" i="31" s="1"/>
  <c r="J35" i="40"/>
  <c r="J36" i="40" s="1"/>
  <c r="Q90" i="31" l="1"/>
  <c r="L33" i="40"/>
  <c r="K35" i="40"/>
  <c r="K36" i="40" s="1"/>
  <c r="P94" i="31"/>
  <c r="P98" i="31" s="1"/>
  <c r="P99" i="31" s="1"/>
  <c r="M20" i="40"/>
  <c r="R88" i="31"/>
  <c r="R95" i="31"/>
  <c r="N11" i="40"/>
  <c r="N14" i="40" s="1"/>
  <c r="S95" i="31" l="1"/>
  <c r="N20" i="40"/>
  <c r="S88" i="31"/>
  <c r="O11" i="40"/>
  <c r="O14" i="40" s="1"/>
  <c r="R90" i="31"/>
  <c r="M33" i="40"/>
  <c r="Q94" i="31"/>
  <c r="Q98" i="31" s="1"/>
  <c r="Q99" i="31" s="1"/>
  <c r="L35" i="40"/>
  <c r="L36" i="40" s="1"/>
  <c r="M35" i="40" l="1"/>
  <c r="M36" i="40" s="1"/>
  <c r="R94" i="31"/>
  <c r="R98" i="31" s="1"/>
  <c r="R99" i="31" s="1"/>
  <c r="O20" i="40"/>
  <c r="T88" i="31"/>
  <c r="P11" i="40"/>
  <c r="P14" i="40" s="1"/>
  <c r="T95" i="31"/>
  <c r="N33" i="40"/>
  <c r="S90" i="31"/>
  <c r="S94" i="31" l="1"/>
  <c r="S98" i="31" s="1"/>
  <c r="S99" i="31" s="1"/>
  <c r="N35" i="40"/>
  <c r="N36" i="40" s="1"/>
  <c r="U95" i="31"/>
  <c r="Q11" i="40"/>
  <c r="Q14" i="40" s="1"/>
  <c r="U14" i="40" s="1"/>
  <c r="P20" i="40"/>
  <c r="U88" i="31"/>
  <c r="O33" i="40"/>
  <c r="T90" i="31"/>
  <c r="O35" i="40" l="1"/>
  <c r="O36" i="40" s="1"/>
  <c r="T94" i="31"/>
  <c r="T98" i="31" s="1"/>
  <c r="T99" i="31" s="1"/>
  <c r="P33" i="40"/>
  <c r="U90" i="31"/>
  <c r="V95" i="31"/>
  <c r="F11" i="41"/>
  <c r="Q20" i="40"/>
  <c r="V88" i="31"/>
  <c r="V90" i="31" l="1"/>
  <c r="Q33" i="40"/>
  <c r="U20" i="40"/>
  <c r="R11" i="40"/>
  <c r="R14" i="40" s="1"/>
  <c r="R20" i="40" s="1"/>
  <c r="R33" i="40" s="1"/>
  <c r="R35" i="40" s="1"/>
  <c r="R36" i="40" s="1"/>
  <c r="F14" i="41"/>
  <c r="F95" i="45"/>
  <c r="F93" i="30"/>
  <c r="F95" i="44"/>
  <c r="F95" i="32"/>
  <c r="F95" i="31"/>
  <c r="U94" i="31"/>
  <c r="U98" i="31" s="1"/>
  <c r="U99" i="31" s="1"/>
  <c r="P35" i="40"/>
  <c r="P36" i="40" s="1"/>
  <c r="U33" i="40"/>
  <c r="F88" i="44"/>
  <c r="F88" i="31"/>
  <c r="F88" i="32"/>
  <c r="F88" i="45"/>
  <c r="F86" i="30"/>
  <c r="V94" i="31" l="1"/>
  <c r="Q35" i="40"/>
  <c r="Q36" i="40" s="1"/>
  <c r="K95" i="32"/>
  <c r="K88" i="32"/>
  <c r="G11" i="41"/>
  <c r="F20" i="41"/>
  <c r="F88" i="30"/>
  <c r="F90" i="45"/>
  <c r="F90" i="32"/>
  <c r="F90" i="31"/>
  <c r="F90" i="44"/>
  <c r="K90" i="32" l="1"/>
  <c r="F33" i="41"/>
  <c r="S11" i="40"/>
  <c r="S14" i="40" s="1"/>
  <c r="S20" i="40" s="1"/>
  <c r="S33" i="40" s="1"/>
  <c r="S35" i="40" s="1"/>
  <c r="S36" i="40" s="1"/>
  <c r="G14" i="41"/>
  <c r="F94" i="44"/>
  <c r="F94" i="31"/>
  <c r="V98" i="31"/>
  <c r="F94" i="45"/>
  <c r="F92" i="30"/>
  <c r="F94" i="32"/>
  <c r="F98" i="45" l="1"/>
  <c r="F98" i="32"/>
  <c r="V99" i="31"/>
  <c r="F96" i="30"/>
  <c r="F98" i="44"/>
  <c r="F98" i="31"/>
  <c r="L95" i="32"/>
  <c r="G20" i="41"/>
  <c r="L88" i="32"/>
  <c r="H11" i="41"/>
  <c r="F35" i="41"/>
  <c r="F36" i="41" s="1"/>
  <c r="K94" i="32"/>
  <c r="K98" i="32" s="1"/>
  <c r="K99" i="32" s="1"/>
  <c r="L90" i="32" l="1"/>
  <c r="G33" i="41"/>
  <c r="F99" i="31"/>
  <c r="F99" i="32"/>
  <c r="F99" i="45"/>
  <c r="F99" i="44"/>
  <c r="F97" i="30"/>
  <c r="T11" i="40"/>
  <c r="T14" i="40" s="1"/>
  <c r="T20" i="40" s="1"/>
  <c r="T33" i="40" s="1"/>
  <c r="T35" i="40" s="1"/>
  <c r="T36" i="40" s="1"/>
  <c r="H14" i="41"/>
  <c r="G35" i="41" l="1"/>
  <c r="G36" i="41" s="1"/>
  <c r="L94" i="32"/>
  <c r="L98" i="32" s="1"/>
  <c r="L99" i="32" s="1"/>
  <c r="M88" i="32"/>
  <c r="M95" i="32"/>
  <c r="H20" i="41"/>
  <c r="I11" i="41"/>
  <c r="I14" i="41" s="1"/>
  <c r="N95" i="32" l="1"/>
  <c r="J11" i="41"/>
  <c r="J14" i="41" s="1"/>
  <c r="N88" i="32"/>
  <c r="I20" i="41"/>
  <c r="H33" i="41"/>
  <c r="M90" i="32"/>
  <c r="O88" i="32" l="1"/>
  <c r="O95" i="32"/>
  <c r="J20" i="41"/>
  <c r="K11" i="41"/>
  <c r="K14" i="41" s="1"/>
  <c r="H35" i="41"/>
  <c r="H36" i="41" s="1"/>
  <c r="M94" i="32"/>
  <c r="M98" i="32" s="1"/>
  <c r="M99" i="32" s="1"/>
  <c r="I33" i="41"/>
  <c r="N90" i="32"/>
  <c r="O90" i="32" l="1"/>
  <c r="J33" i="41"/>
  <c r="I35" i="41"/>
  <c r="I36" i="41" s="1"/>
  <c r="N94" i="32"/>
  <c r="N98" i="32" s="1"/>
  <c r="N99" i="32" s="1"/>
  <c r="K20" i="41"/>
  <c r="P95" i="32"/>
  <c r="P88" i="32"/>
  <c r="L11" i="41"/>
  <c r="L14" i="41" s="1"/>
  <c r="L20" i="41" l="1"/>
  <c r="Q88" i="32"/>
  <c r="Q95" i="32"/>
  <c r="M11" i="41"/>
  <c r="M14" i="41" s="1"/>
  <c r="K33" i="41"/>
  <c r="P90" i="32"/>
  <c r="J35" i="41"/>
  <c r="J36" i="41" s="1"/>
  <c r="O94" i="32"/>
  <c r="O98" i="32" s="1"/>
  <c r="O99" i="32" s="1"/>
  <c r="P94" i="32" l="1"/>
  <c r="P98" i="32" s="1"/>
  <c r="P99" i="32" s="1"/>
  <c r="K35" i="41"/>
  <c r="K36" i="41" s="1"/>
  <c r="N11" i="41"/>
  <c r="N14" i="41" s="1"/>
  <c r="R95" i="32"/>
  <c r="R88" i="32"/>
  <c r="M20" i="41"/>
  <c r="L33" i="41"/>
  <c r="Q90" i="32"/>
  <c r="N20" i="41" l="1"/>
  <c r="S95" i="32"/>
  <c r="S88" i="32"/>
  <c r="O11" i="41"/>
  <c r="O14" i="41" s="1"/>
  <c r="L35" i="41"/>
  <c r="L36" i="41" s="1"/>
  <c r="Q94" i="32"/>
  <c r="Q98" i="32" s="1"/>
  <c r="Q99" i="32" s="1"/>
  <c r="M33" i="41"/>
  <c r="R90" i="32"/>
  <c r="M35" i="41" l="1"/>
  <c r="M36" i="41" s="1"/>
  <c r="R94" i="32"/>
  <c r="R98" i="32" s="1"/>
  <c r="R99" i="32" s="1"/>
  <c r="T88" i="32"/>
  <c r="O20" i="41"/>
  <c r="T95" i="32"/>
  <c r="P11" i="41"/>
  <c r="P14" i="41" s="1"/>
  <c r="S90" i="32"/>
  <c r="N33" i="41"/>
  <c r="U88" i="32" l="1"/>
  <c r="U95" i="32"/>
  <c r="P20" i="41"/>
  <c r="Q11" i="41"/>
  <c r="Q14" i="41" s="1"/>
  <c r="U14" i="41" s="1"/>
  <c r="N35" i="41"/>
  <c r="N36" i="41" s="1"/>
  <c r="S94" i="32"/>
  <c r="S98" i="32" s="1"/>
  <c r="S99" i="32" s="1"/>
  <c r="T90" i="32"/>
  <c r="O33" i="41"/>
  <c r="V88" i="32" l="1"/>
  <c r="V95" i="32"/>
  <c r="Q20" i="41"/>
  <c r="F11" i="42"/>
  <c r="P33" i="41"/>
  <c r="U90" i="32"/>
  <c r="T94" i="32"/>
  <c r="T98" i="32" s="1"/>
  <c r="T99" i="32" s="1"/>
  <c r="O35" i="41"/>
  <c r="O36" i="41" s="1"/>
  <c r="U94" i="32" l="1"/>
  <c r="U98" i="32" s="1"/>
  <c r="U99" i="32" s="1"/>
  <c r="P35" i="41"/>
  <c r="P36" i="41" s="1"/>
  <c r="Q33" i="41"/>
  <c r="U33" i="41" s="1"/>
  <c r="V90" i="32"/>
  <c r="G95" i="32"/>
  <c r="G95" i="44"/>
  <c r="G95" i="45"/>
  <c r="G95" i="31"/>
  <c r="G93" i="30"/>
  <c r="R11" i="41"/>
  <c r="R14" i="41" s="1"/>
  <c r="R20" i="41" s="1"/>
  <c r="R33" i="41" s="1"/>
  <c r="R35" i="41" s="1"/>
  <c r="R36" i="41" s="1"/>
  <c r="F14" i="42"/>
  <c r="U20" i="41"/>
  <c r="G86" i="30"/>
  <c r="G88" i="44"/>
  <c r="G88" i="32"/>
  <c r="G88" i="45"/>
  <c r="G88" i="31"/>
  <c r="K88" i="44" l="1"/>
  <c r="F20" i="42"/>
  <c r="G11" i="42"/>
  <c r="K95" i="44"/>
  <c r="V94" i="32"/>
  <c r="Q35" i="41"/>
  <c r="Q36" i="41" s="1"/>
  <c r="G90" i="32"/>
  <c r="G90" i="31"/>
  <c r="G90" i="45"/>
  <c r="G88" i="30"/>
  <c r="G90" i="44"/>
  <c r="F33" i="42" l="1"/>
  <c r="K90" i="44"/>
  <c r="G94" i="31"/>
  <c r="G94" i="32"/>
  <c r="V98" i="32"/>
  <c r="G94" i="44"/>
  <c r="G92" i="30"/>
  <c r="G94" i="45"/>
  <c r="G14" i="42"/>
  <c r="S11" i="41"/>
  <c r="S14" i="41" s="1"/>
  <c r="S20" i="41" s="1"/>
  <c r="S33" i="41" s="1"/>
  <c r="S35" i="41" s="1"/>
  <c r="S36" i="41" s="1"/>
  <c r="V99" i="32" l="1"/>
  <c r="G98" i="44"/>
  <c r="G96" i="30"/>
  <c r="G98" i="31"/>
  <c r="G98" i="45"/>
  <c r="G98" i="32"/>
  <c r="G20" i="42"/>
  <c r="L88" i="44"/>
  <c r="L95" i="44"/>
  <c r="H11" i="42"/>
  <c r="F35" i="42"/>
  <c r="F36" i="42" s="1"/>
  <c r="K94" i="44"/>
  <c r="K98" i="44" s="1"/>
  <c r="K99" i="44" s="1"/>
  <c r="L90" i="44" l="1"/>
  <c r="G33" i="42"/>
  <c r="H14" i="42"/>
  <c r="T11" i="41"/>
  <c r="T14" i="41" s="1"/>
  <c r="T20" i="41" s="1"/>
  <c r="T33" i="41" s="1"/>
  <c r="T35" i="41" s="1"/>
  <c r="T36" i="41" s="1"/>
  <c r="G99" i="45"/>
  <c r="G97" i="30"/>
  <c r="G99" i="31"/>
  <c r="G99" i="32"/>
  <c r="G99" i="44"/>
  <c r="L94" i="44" l="1"/>
  <c r="L98" i="44" s="1"/>
  <c r="L99" i="44" s="1"/>
  <c r="G35" i="42"/>
  <c r="G36" i="42" s="1"/>
  <c r="M95" i="44"/>
  <c r="H20" i="42"/>
  <c r="I11" i="42"/>
  <c r="I14" i="42" s="1"/>
  <c r="M88" i="44"/>
  <c r="N88" i="44" l="1"/>
  <c r="N95" i="44"/>
  <c r="I20" i="42"/>
  <c r="J11" i="42"/>
  <c r="J14" i="42" s="1"/>
  <c r="M90" i="44"/>
  <c r="H33" i="42"/>
  <c r="O88" i="44" l="1"/>
  <c r="J20" i="42"/>
  <c r="O95" i="44"/>
  <c r="K11" i="42"/>
  <c r="K14" i="42" s="1"/>
  <c r="M94" i="44"/>
  <c r="M98" i="44" s="1"/>
  <c r="M99" i="44" s="1"/>
  <c r="H35" i="42"/>
  <c r="H36" i="42" s="1"/>
  <c r="I33" i="42"/>
  <c r="N90" i="44"/>
  <c r="I35" i="42" l="1"/>
  <c r="I36" i="42" s="1"/>
  <c r="N94" i="44"/>
  <c r="N98" i="44" s="1"/>
  <c r="N99" i="44" s="1"/>
  <c r="L11" i="42"/>
  <c r="L14" i="42" s="1"/>
  <c r="P95" i="44"/>
  <c r="K20" i="42"/>
  <c r="P88" i="44"/>
  <c r="J33" i="42"/>
  <c r="O90" i="44"/>
  <c r="J35" i="42" l="1"/>
  <c r="J36" i="42" s="1"/>
  <c r="O94" i="44"/>
  <c r="O98" i="44" s="1"/>
  <c r="O99" i="44" s="1"/>
  <c r="P90" i="44"/>
  <c r="K33" i="42"/>
  <c r="Q95" i="44"/>
  <c r="Q88" i="44"/>
  <c r="L20" i="42"/>
  <c r="M11" i="42"/>
  <c r="M14" i="42" s="1"/>
  <c r="M20" i="42" l="1"/>
  <c r="R88" i="44"/>
  <c r="N11" i="42"/>
  <c r="N14" i="42" s="1"/>
  <c r="R95" i="44"/>
  <c r="Q90" i="44"/>
  <c r="L33" i="42"/>
  <c r="P94" i="44"/>
  <c r="P98" i="44" s="1"/>
  <c r="P99" i="44" s="1"/>
  <c r="K35" i="42"/>
  <c r="K36" i="42" s="1"/>
  <c r="L35" i="42" l="1"/>
  <c r="L36" i="42" s="1"/>
  <c r="Q94" i="44"/>
  <c r="Q98" i="44" s="1"/>
  <c r="Q99" i="44" s="1"/>
  <c r="S95" i="44"/>
  <c r="O11" i="42"/>
  <c r="O14" i="42" s="1"/>
  <c r="N20" i="42"/>
  <c r="S88" i="44"/>
  <c r="M33" i="42"/>
  <c r="R90" i="44"/>
  <c r="R94" i="44" l="1"/>
  <c r="R98" i="44" s="1"/>
  <c r="R99" i="44" s="1"/>
  <c r="M35" i="42"/>
  <c r="M36" i="42" s="1"/>
  <c r="N33" i="42"/>
  <c r="S90" i="44"/>
  <c r="T95" i="44"/>
  <c r="T88" i="44"/>
  <c r="P11" i="42"/>
  <c r="P14" i="42" s="1"/>
  <c r="O20" i="42"/>
  <c r="S94" i="44" l="1"/>
  <c r="S98" i="44" s="1"/>
  <c r="S99" i="44" s="1"/>
  <c r="N35" i="42"/>
  <c r="N36" i="42" s="1"/>
  <c r="T90" i="44"/>
  <c r="O33" i="42"/>
  <c r="U95" i="44"/>
  <c r="P20" i="42"/>
  <c r="U88" i="44"/>
  <c r="Q11" i="42"/>
  <c r="Q14" i="42" s="1"/>
  <c r="V95" i="44" l="1"/>
  <c r="Q20" i="42"/>
  <c r="V88" i="44"/>
  <c r="F11" i="43"/>
  <c r="P33" i="42"/>
  <c r="U90" i="44"/>
  <c r="U20" i="42"/>
  <c r="O35" i="42"/>
  <c r="O36" i="42" s="1"/>
  <c r="T94" i="44"/>
  <c r="T98" i="44" s="1"/>
  <c r="T99" i="44" s="1"/>
  <c r="U14" i="42"/>
  <c r="F14" i="43" l="1"/>
  <c r="R11" i="42"/>
  <c r="R14" i="42" s="1"/>
  <c r="R20" i="42" s="1"/>
  <c r="R33" i="42" s="1"/>
  <c r="R35" i="42" s="1"/>
  <c r="R36" i="42" s="1"/>
  <c r="H86" i="30"/>
  <c r="H88" i="31"/>
  <c r="H88" i="44"/>
  <c r="H88" i="32"/>
  <c r="H88" i="45"/>
  <c r="Q33" i="42"/>
  <c r="V90" i="44"/>
  <c r="U94" i="44"/>
  <c r="U98" i="44" s="1"/>
  <c r="U99" i="44" s="1"/>
  <c r="P35" i="42"/>
  <c r="P36" i="42" s="1"/>
  <c r="H93" i="30"/>
  <c r="H95" i="44"/>
  <c r="H95" i="32"/>
  <c r="H95" i="45"/>
  <c r="H95" i="31"/>
  <c r="V94" i="44" l="1"/>
  <c r="Q35" i="42"/>
  <c r="Q36" i="42" s="1"/>
  <c r="U33" i="42"/>
  <c r="H90" i="45"/>
  <c r="H90" i="32"/>
  <c r="H88" i="30"/>
  <c r="H90" i="44"/>
  <c r="H90" i="31"/>
  <c r="K88" i="45"/>
  <c r="K95" i="45"/>
  <c r="F20" i="43"/>
  <c r="G11" i="43"/>
  <c r="F33" i="43" l="1"/>
  <c r="K90" i="45"/>
  <c r="S11" i="42"/>
  <c r="S14" i="42" s="1"/>
  <c r="S20" i="42" s="1"/>
  <c r="S33" i="42" s="1"/>
  <c r="S35" i="42" s="1"/>
  <c r="S36" i="42" s="1"/>
  <c r="G14" i="43"/>
  <c r="H94" i="45"/>
  <c r="H92" i="30"/>
  <c r="H94" i="31"/>
  <c r="H94" i="32"/>
  <c r="V98" i="44"/>
  <c r="H94" i="44"/>
  <c r="L88" i="45" l="1"/>
  <c r="G20" i="43"/>
  <c r="H11" i="43"/>
  <c r="L95" i="45"/>
  <c r="H98" i="32"/>
  <c r="V99" i="44"/>
  <c r="H96" i="30"/>
  <c r="H98" i="45"/>
  <c r="H98" i="31"/>
  <c r="H98" i="44"/>
  <c r="F35" i="43"/>
  <c r="F36" i="43" s="1"/>
  <c r="K94" i="45"/>
  <c r="K98" i="45" s="1"/>
  <c r="K99" i="45" s="1"/>
  <c r="T11" i="42" l="1"/>
  <c r="T14" i="42" s="1"/>
  <c r="T20" i="42" s="1"/>
  <c r="T33" i="42" s="1"/>
  <c r="T35" i="42" s="1"/>
  <c r="T36" i="42" s="1"/>
  <c r="H14" i="43"/>
  <c r="H99" i="44"/>
  <c r="H99" i="45"/>
  <c r="H97" i="30"/>
  <c r="H99" i="32"/>
  <c r="H99" i="31"/>
  <c r="L90" i="45"/>
  <c r="G33" i="43"/>
  <c r="M88" i="45" l="1"/>
  <c r="M95" i="45"/>
  <c r="H20" i="43"/>
  <c r="I11" i="43"/>
  <c r="I14" i="43" s="1"/>
  <c r="L94" i="45"/>
  <c r="L98" i="45" s="1"/>
  <c r="L99" i="45" s="1"/>
  <c r="G35" i="43"/>
  <c r="G36" i="43" s="1"/>
  <c r="N88" i="45" l="1"/>
  <c r="I20" i="43"/>
  <c r="N95" i="45"/>
  <c r="J11" i="43"/>
  <c r="J14" i="43" s="1"/>
  <c r="M90" i="45"/>
  <c r="H33" i="43"/>
  <c r="H35" i="43" l="1"/>
  <c r="H36" i="43" s="1"/>
  <c r="M94" i="45"/>
  <c r="M98" i="45" s="1"/>
  <c r="M99" i="45" s="1"/>
  <c r="O95" i="45"/>
  <c r="O88" i="45"/>
  <c r="K11" i="43"/>
  <c r="K14" i="43" s="1"/>
  <c r="J20" i="43"/>
  <c r="I33" i="43"/>
  <c r="N90" i="45"/>
  <c r="P95" i="45" l="1"/>
  <c r="K20" i="43"/>
  <c r="P88" i="45"/>
  <c r="L11" i="43"/>
  <c r="L14" i="43" s="1"/>
  <c r="I35" i="43"/>
  <c r="I36" i="43" s="1"/>
  <c r="N94" i="45"/>
  <c r="N98" i="45" s="1"/>
  <c r="N99" i="45" s="1"/>
  <c r="J33" i="43"/>
  <c r="O90" i="45"/>
  <c r="O94" i="45" l="1"/>
  <c r="O98" i="45" s="1"/>
  <c r="O99" i="45" s="1"/>
  <c r="J35" i="43"/>
  <c r="J36" i="43" s="1"/>
  <c r="Q95" i="45"/>
  <c r="M11" i="43"/>
  <c r="M14" i="43" s="1"/>
  <c r="Q88" i="45"/>
  <c r="L20" i="43"/>
  <c r="P90" i="45"/>
  <c r="K33" i="43"/>
  <c r="K35" i="43" l="1"/>
  <c r="K36" i="43" s="1"/>
  <c r="P94" i="45"/>
  <c r="P98" i="45" s="1"/>
  <c r="P99" i="45" s="1"/>
  <c r="Q90" i="45"/>
  <c r="L33" i="43"/>
  <c r="R95" i="45"/>
  <c r="R88" i="45"/>
  <c r="M20" i="43"/>
  <c r="N11" i="43"/>
  <c r="N14" i="43" s="1"/>
  <c r="M33" i="43" l="1"/>
  <c r="R90" i="45"/>
  <c r="N20" i="43"/>
  <c r="O11" i="43"/>
  <c r="O14" i="43" s="1"/>
  <c r="S88" i="45"/>
  <c r="S95" i="45"/>
  <c r="Q94" i="45"/>
  <c r="Q98" i="45" s="1"/>
  <c r="Q99" i="45" s="1"/>
  <c r="L35" i="43"/>
  <c r="L36" i="43" s="1"/>
  <c r="T88" i="45" l="1"/>
  <c r="T95" i="45"/>
  <c r="O20" i="43"/>
  <c r="P11" i="43"/>
  <c r="P14" i="43" s="1"/>
  <c r="S90" i="45"/>
  <c r="N33" i="43"/>
  <c r="R94" i="45"/>
  <c r="R98" i="45" s="1"/>
  <c r="R99" i="45" s="1"/>
  <c r="M35" i="43"/>
  <c r="M36" i="43" s="1"/>
  <c r="U88" i="45" l="1"/>
  <c r="U95" i="45"/>
  <c r="P20" i="43"/>
  <c r="Q11" i="43"/>
  <c r="Q14" i="43" s="1"/>
  <c r="U14" i="43" s="1"/>
  <c r="S94" i="45"/>
  <c r="S98" i="45" s="1"/>
  <c r="S99" i="45" s="1"/>
  <c r="N35" i="43"/>
  <c r="N36" i="43" s="1"/>
  <c r="O33" i="43"/>
  <c r="T90" i="45"/>
  <c r="O35" i="43" l="1"/>
  <c r="O36" i="43" s="1"/>
  <c r="T94" i="45"/>
  <c r="T98" i="45" s="1"/>
  <c r="T99" i="45" s="1"/>
  <c r="V95" i="45"/>
  <c r="Q20" i="43"/>
  <c r="V88" i="45"/>
  <c r="U90" i="45"/>
  <c r="P33" i="43"/>
  <c r="P35" i="43" l="1"/>
  <c r="P36" i="43" s="1"/>
  <c r="U94" i="45"/>
  <c r="U98" i="45" s="1"/>
  <c r="U99" i="45" s="1"/>
  <c r="Q33" i="43"/>
  <c r="V90" i="45"/>
  <c r="I95" i="32"/>
  <c r="I95" i="44"/>
  <c r="I95" i="31"/>
  <c r="I93" i="30"/>
  <c r="I95" i="45"/>
  <c r="I88" i="31"/>
  <c r="I86" i="30"/>
  <c r="I88" i="44"/>
  <c r="I88" i="45"/>
  <c r="I88" i="32"/>
  <c r="U33" i="43"/>
  <c r="U20" i="43"/>
  <c r="I90" i="31" l="1"/>
  <c r="I88" i="30"/>
  <c r="I90" i="45"/>
  <c r="I90" i="44"/>
  <c r="I90" i="32"/>
  <c r="V94" i="45"/>
  <c r="Q35" i="43"/>
  <c r="Q36" i="43" s="1"/>
  <c r="I94" i="31" l="1"/>
  <c r="V98" i="45"/>
  <c r="I94" i="32"/>
  <c r="I92" i="30"/>
  <c r="I94" i="44"/>
  <c r="I94" i="45"/>
  <c r="I98" i="45" l="1"/>
  <c r="I96" i="30"/>
  <c r="V99" i="45"/>
  <c r="I98" i="31"/>
  <c r="I98" i="32"/>
  <c r="I98" i="44"/>
  <c r="I99" i="44" l="1"/>
  <c r="I99" i="31"/>
  <c r="I99" i="45"/>
  <c r="I99" i="32"/>
  <c r="I97" i="30"/>
</calcChain>
</file>

<file path=xl/sharedStrings.xml><?xml version="1.0" encoding="utf-8"?>
<sst xmlns="http://schemas.openxmlformats.org/spreadsheetml/2006/main" count="2931" uniqueCount="346">
  <si>
    <t>Fiscal Year</t>
  </si>
  <si>
    <t>Sun</t>
  </si>
  <si>
    <t>Revenue</t>
  </si>
  <si>
    <t>COGS</t>
  </si>
  <si>
    <t>GROSS MARGIN</t>
  </si>
  <si>
    <t>Salaries &amp; Wages</t>
  </si>
  <si>
    <t>Variable Expenses</t>
  </si>
  <si>
    <t>Fixed Expenditure</t>
  </si>
  <si>
    <t>NET MARGIN</t>
  </si>
  <si>
    <t>NET MARGIN %</t>
  </si>
  <si>
    <t>EBITDA</t>
  </si>
  <si>
    <t>Depreciation &amp; Amortization</t>
  </si>
  <si>
    <t>EBIT</t>
  </si>
  <si>
    <t>Net Interest Expense</t>
  </si>
  <si>
    <t>Net Profit Before Tax</t>
  </si>
  <si>
    <t>Tax Expense</t>
  </si>
  <si>
    <t>Net Profit After Tax</t>
  </si>
  <si>
    <t>Net Profit After Tax %</t>
  </si>
  <si>
    <t>Operating Cash Flows</t>
  </si>
  <si>
    <t>Core Financials</t>
  </si>
  <si>
    <t>Cash Flow 5 Years 2023</t>
  </si>
  <si>
    <t>Cumulative Cash Flow 5 Years 2023</t>
  </si>
  <si>
    <t>EBITDA %</t>
  </si>
  <si>
    <t>Break Even Analysis</t>
  </si>
  <si>
    <t>Break Even Chart</t>
  </si>
  <si>
    <t>Gross Margin</t>
  </si>
  <si>
    <t>Break Even level</t>
  </si>
  <si>
    <t>Year Ending</t>
  </si>
  <si>
    <t>Growth %</t>
  </si>
  <si>
    <t>% of Revenue</t>
  </si>
  <si>
    <t>GROSS MARGIN %</t>
  </si>
  <si>
    <t>Fixed 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</si>
  <si>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</si>
  <si>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</si>
  <si>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</si>
  <si>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</si>
  <si>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</si>
  <si>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</si>
  <si>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</si>
  <si>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</si>
  <si>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</si>
  <si>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</si>
  <si>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</si>
  <si>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</si>
  <si>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Cash Receipts</t>
  </si>
  <si>
    <t>Cash Payments</t>
  </si>
  <si>
    <t>Other Operating Cash Flows</t>
  </si>
  <si>
    <t>Capital Expenditure</t>
  </si>
  <si>
    <t>Other Investing Cash Flows</t>
  </si>
  <si>
    <t>Investing Cash Flows</t>
  </si>
  <si>
    <t>Debt Drawdowns/(Repayments)</t>
  </si>
  <si>
    <t>Equity Raisings/(Buybacks)</t>
  </si>
  <si>
    <t>Other Financing Cash Flows</t>
  </si>
  <si>
    <t>Financing Cash Flows</t>
  </si>
  <si>
    <t>Closing Cash</t>
  </si>
  <si>
    <t>Current Assets</t>
  </si>
  <si>
    <t>Non-Current Assets</t>
  </si>
  <si>
    <t>Total Assets</t>
  </si>
  <si>
    <t>Current Liabilities</t>
  </si>
  <si>
    <t>Non-Current Liabilities</t>
  </si>
  <si>
    <t>Total Liabilities</t>
  </si>
  <si>
    <t>Net Assets</t>
  </si>
  <si>
    <t>Net Current Assets</t>
  </si>
  <si>
    <t>Ordinary Equity</t>
  </si>
  <si>
    <t>Other Equity</t>
  </si>
  <si>
    <t>Retained Profits</t>
  </si>
  <si>
    <t>Total Equity</t>
  </si>
  <si>
    <t>Wages</t>
  </si>
  <si>
    <t>Misc</t>
  </si>
  <si>
    <t>Top Expenses</t>
  </si>
  <si>
    <t>Month</t>
  </si>
  <si>
    <t>Mon-Fri</t>
  </si>
  <si>
    <t>Sat</t>
  </si>
  <si>
    <t>OOS Seasonal Assumptions</t>
  </si>
  <si>
    <t>Breakdown Seasonal Assumptions</t>
  </si>
  <si>
    <t>Salaries Assumptions</t>
  </si>
  <si>
    <t>Department</t>
  </si>
  <si>
    <t>Number Of Employees and Wages</t>
  </si>
  <si>
    <t>Totals</t>
  </si>
  <si>
    <t>BUDGET</t>
  </si>
  <si>
    <t>NET EXPENSES</t>
  </si>
  <si>
    <t>REVENUE</t>
  </si>
  <si>
    <t>PROFIT MARGINS</t>
  </si>
  <si>
    <t>DEBT TO EQUITY RATIO</t>
  </si>
  <si>
    <t>NO.</t>
  </si>
  <si>
    <t>NAME</t>
  </si>
  <si>
    <t>GOAL</t>
  </si>
  <si>
    <t>ACTUAL</t>
  </si>
  <si>
    <t>REMAINDER</t>
  </si>
  <si>
    <t>ADDITIONAL</t>
  </si>
  <si>
    <t>TOTAL</t>
  </si>
  <si>
    <t>GROSS</t>
  </si>
  <si>
    <t>NET</t>
  </si>
  <si>
    <t>CALENDAR</t>
  </si>
  <si>
    <t>DEBT</t>
  </si>
  <si>
    <t>EQUITY</t>
  </si>
  <si>
    <t>Planned Value</t>
  </si>
  <si>
    <t>Actual</t>
  </si>
  <si>
    <t>TEAM AVERAGE</t>
  </si>
  <si>
    <t>Task</t>
  </si>
  <si>
    <t>% OF GOAL REACHED</t>
  </si>
  <si>
    <t>ROI</t>
  </si>
  <si>
    <t>Variables</t>
  </si>
  <si>
    <t>Target</t>
  </si>
  <si>
    <t>Variance</t>
  </si>
  <si>
    <t>Average</t>
  </si>
  <si>
    <t>Totals2</t>
  </si>
  <si>
    <t>Overuns</t>
  </si>
  <si>
    <t>OOS Costs</t>
  </si>
  <si>
    <t>% Of Costs</t>
  </si>
  <si>
    <t>Areas</t>
  </si>
  <si>
    <t>Actual / Target</t>
  </si>
  <si>
    <t>% Target</t>
  </si>
  <si>
    <t>Location 1</t>
  </si>
  <si>
    <t>Location 2</t>
  </si>
  <si>
    <t>Location 3</t>
  </si>
  <si>
    <t>Location 4</t>
  </si>
  <si>
    <t>Location 5</t>
  </si>
  <si>
    <t>Location 6</t>
  </si>
  <si>
    <t>Total Revenue</t>
  </si>
  <si>
    <t>Total COGS</t>
  </si>
  <si>
    <t>Placeholder 1</t>
  </si>
  <si>
    <t>Placeholder 2</t>
  </si>
  <si>
    <t>Placeholder 3</t>
  </si>
  <si>
    <t>Placeholder 5</t>
  </si>
  <si>
    <t>Placeholder 6</t>
  </si>
  <si>
    <t>Placeholder 7</t>
  </si>
  <si>
    <t>Placeholder 8</t>
  </si>
  <si>
    <t>Total Variable Expenses</t>
  </si>
  <si>
    <t>Total Admin Salary and Wages</t>
  </si>
  <si>
    <t>Utilities</t>
  </si>
  <si>
    <t>Miscellaneous</t>
  </si>
  <si>
    <t>Placeholder7</t>
  </si>
  <si>
    <t>Placeholder8</t>
  </si>
  <si>
    <t>Placeholder9</t>
  </si>
  <si>
    <t>Placeholder10</t>
  </si>
  <si>
    <t>Placeholder11</t>
  </si>
  <si>
    <t>Placeholder12</t>
  </si>
  <si>
    <t>Placeholder13</t>
  </si>
  <si>
    <t>Placeholder14</t>
  </si>
  <si>
    <t>Placeholder15</t>
  </si>
  <si>
    <t>Total Fixed Expenses</t>
  </si>
  <si>
    <t>Total Depriciation &amp; Amortization</t>
  </si>
  <si>
    <t>Interest Expense</t>
  </si>
  <si>
    <t>Income Statement</t>
  </si>
  <si>
    <t>[Company Name]</t>
  </si>
  <si>
    <t>.</t>
  </si>
  <si>
    <t>Operating Net Cash</t>
  </si>
  <si>
    <t>Operating Cash Flow (OCF)</t>
  </si>
  <si>
    <t>Cash Flow Statement</t>
  </si>
  <si>
    <t>Model Name</t>
  </si>
  <si>
    <t>Go to the Table of Contents</t>
  </si>
  <si>
    <t>Cash Flow from Operating Activities</t>
  </si>
  <si>
    <t>Interest Paid</t>
  </si>
  <si>
    <t>Corporate Tax Paid</t>
  </si>
  <si>
    <t>CASH INFLOW</t>
  </si>
  <si>
    <t>CASH OUTFLOW</t>
  </si>
  <si>
    <t>Net Cash Flow from Operating Activities</t>
  </si>
  <si>
    <t>Cash Flow from Investing Activities</t>
  </si>
  <si>
    <t>Fixed Assets Capital Expenditure</t>
  </si>
  <si>
    <t>Net Cash Flow from Investing Activities</t>
  </si>
  <si>
    <t>Cash Flow from Financing Activities</t>
  </si>
  <si>
    <t>Debt Drawdowns</t>
  </si>
  <si>
    <t>Debt Repayments</t>
  </si>
  <si>
    <t>Ordinary Equity Raisings</t>
  </si>
  <si>
    <t>Ordinary Equity Buybacks</t>
  </si>
  <si>
    <t>Ordinary Equity Dividends Paid</t>
  </si>
  <si>
    <t>Net Cash Flow from Financing Activities</t>
  </si>
  <si>
    <t>Net Increase/(Decrease) in Cash Held</t>
  </si>
  <si>
    <t>Interest on Cash Breakdown</t>
  </si>
  <si>
    <t>Change in Cash (Pre-Corporate Tax &amp; Interest on Cash)</t>
  </si>
  <si>
    <t>Cash Flow to Capital Providers</t>
  </si>
  <si>
    <t>Cash Flow Available To Capital Providers (CFACP)</t>
  </si>
  <si>
    <t>Cash Flow Available to Equity (CFAE)</t>
  </si>
  <si>
    <t>Cash Flow Available for Dividends (CFAD)</t>
  </si>
  <si>
    <t>Balance Sheet</t>
  </si>
  <si>
    <t>Financial Year</t>
  </si>
  <si>
    <t>Cash</t>
  </si>
  <si>
    <t>Accounts Receivable</t>
  </si>
  <si>
    <t>Inventory</t>
  </si>
  <si>
    <t>Total Current Assets</t>
  </si>
  <si>
    <t>Assets Closing Net Book Value</t>
  </si>
  <si>
    <t>CAPEX Prepayment</t>
  </si>
  <si>
    <t>Fixed Assets</t>
  </si>
  <si>
    <t>Total Non-Current Assets</t>
  </si>
  <si>
    <t>CAPEX Payable</t>
  </si>
  <si>
    <t>Accounts Payable</t>
  </si>
  <si>
    <t>Corporate Tax Payable</t>
  </si>
  <si>
    <t>Total Current Liabilities</t>
  </si>
  <si>
    <t>Debt</t>
  </si>
  <si>
    <t>Other Non-Current Liabilities</t>
  </si>
  <si>
    <t>Total Non-Current Liabilities</t>
  </si>
  <si>
    <t>Total Error Checks Result</t>
  </si>
  <si>
    <t>Alert Check (Negative Cash)</t>
  </si>
  <si>
    <t>Deviation</t>
  </si>
  <si>
    <t>-</t>
  </si>
  <si>
    <t>Admin Salaries &amp; Wages</t>
  </si>
  <si>
    <t>Financial year</t>
  </si>
  <si>
    <t>Placeholder</t>
  </si>
  <si>
    <t>Net Cash Flow from Operating Activities (Indirect)</t>
  </si>
  <si>
    <t>Change In Cash Held</t>
  </si>
  <si>
    <t>Non-Current Liabilties</t>
  </si>
  <si>
    <t>Income Statement Summer 2024</t>
  </si>
  <si>
    <t>Balance Sheet 2024</t>
  </si>
  <si>
    <t>Direct Salaries and Wages</t>
  </si>
  <si>
    <t>COGS Placeholder 1</t>
  </si>
  <si>
    <t>COGS Placeholder 2</t>
  </si>
  <si>
    <t>COGS Placeholder 3</t>
  </si>
  <si>
    <t>COGS Placeholder 4</t>
  </si>
  <si>
    <t>COGS Placeholder 5</t>
  </si>
  <si>
    <t>COGS Placeholder 6</t>
  </si>
  <si>
    <t>Break Even Calculation</t>
  </si>
  <si>
    <t>Top Expenses To December 2024</t>
  </si>
  <si>
    <t>Number Of Employees</t>
  </si>
  <si>
    <t>Percentage Of Time Taken</t>
  </si>
  <si>
    <t>Run</t>
  </si>
  <si>
    <t>Planner Name:</t>
  </si>
  <si>
    <t>Manager:</t>
  </si>
  <si>
    <t>Planned</t>
  </si>
  <si>
    <t>Active Customers</t>
  </si>
  <si>
    <t>Billable Days</t>
  </si>
  <si>
    <t>Cost Per Day</t>
  </si>
  <si>
    <t>Services Assumptions</t>
  </si>
  <si>
    <t>% Rise</t>
  </si>
  <si>
    <t>COGS Assumptions</t>
  </si>
  <si>
    <t>Contract Name:</t>
  </si>
  <si>
    <t>Building Rent</t>
  </si>
  <si>
    <t>Cost Per Click (CPC)</t>
  </si>
  <si>
    <t>Monthly Marketing Budget Offline</t>
  </si>
  <si>
    <t>Total Visitors</t>
  </si>
  <si>
    <t>Total CPC Visitors</t>
  </si>
  <si>
    <t xml:space="preserve">Total Cost Per Visit (CPV) Offline </t>
  </si>
  <si>
    <t>Conversion Rates</t>
  </si>
  <si>
    <t>Visitors Sales Opportunities</t>
  </si>
  <si>
    <t>Sales Opps Total</t>
  </si>
  <si>
    <t>Total Sales</t>
  </si>
  <si>
    <t>Sales Opps For Free Trial</t>
  </si>
  <si>
    <t>New Free Trial Users</t>
  </si>
  <si>
    <t>Sales Opps For Paying Customers</t>
  </si>
  <si>
    <t>SEO Visitors</t>
  </si>
  <si>
    <t>SEO % Potential</t>
  </si>
  <si>
    <t>SEO Total</t>
  </si>
  <si>
    <t>Monthly Marketing Budget Web Online</t>
  </si>
  <si>
    <t>Marketing Budgets &amp; Visitor Totals</t>
  </si>
  <si>
    <t>2024 Sales Summary</t>
  </si>
  <si>
    <t>Cash Flow 5 Years 2027</t>
  </si>
  <si>
    <t>Cumulative Cash Flow 5 Years 2027</t>
  </si>
  <si>
    <t>2027 Sales Summary</t>
  </si>
  <si>
    <t>2026 Sales Summary</t>
  </si>
  <si>
    <t>2025 Sales Summary</t>
  </si>
  <si>
    <t>Income Statement Summer 2027</t>
  </si>
  <si>
    <t>Cash Flow Statement 2025</t>
  </si>
  <si>
    <t>Income Statement Summer 2025</t>
  </si>
  <si>
    <t>Balance Sheet 2025</t>
  </si>
  <si>
    <t>Cash Flow Statement 2026</t>
  </si>
  <si>
    <t>Income Statement Summer 2026</t>
  </si>
  <si>
    <t>Balance Sheet 2026</t>
  </si>
  <si>
    <t>Cash Flow Statement 2027</t>
  </si>
  <si>
    <t>Balance Sheet 2027</t>
  </si>
  <si>
    <t>Monthly Marketing Budget Web</t>
  </si>
  <si>
    <t>Price</t>
  </si>
  <si>
    <t>Service 1</t>
  </si>
  <si>
    <t>Service 2</t>
  </si>
  <si>
    <t>Service 3</t>
  </si>
  <si>
    <t>Service 4</t>
  </si>
  <si>
    <t>Service 5</t>
  </si>
  <si>
    <t>Service 6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</si>
  <si>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</si>
  <si>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</si>
  <si>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</si>
  <si>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</si>
  <si>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</si>
  <si>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</si>
  <si>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</si>
  <si>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</si>
  <si>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</si>
  <si>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</si>
  <si>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</si>
  <si>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</si>
  <si>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Monthly Sales Assumptions</t>
  </si>
  <si>
    <t>Seasonal Assumptions</t>
  </si>
  <si>
    <t>Servcies</t>
  </si>
  <si>
    <t>Services</t>
  </si>
  <si>
    <t>Service</t>
  </si>
  <si>
    <t>Actual Months Contracted</t>
  </si>
  <si>
    <t>Planned Months</t>
  </si>
  <si>
    <t>Actual Months Taken</t>
  </si>
  <si>
    <t>Maintenance</t>
  </si>
  <si>
    <t>TIME OVER Months</t>
  </si>
  <si>
    <t>Planned Months vs Actual Months Taken</t>
  </si>
  <si>
    <t>Expenditure Service 1</t>
  </si>
  <si>
    <t>Earned Service 1</t>
  </si>
  <si>
    <t>Expenditure Service 2</t>
  </si>
  <si>
    <t>Earned Service 2</t>
  </si>
  <si>
    <t>Expenditure Service 3</t>
  </si>
  <si>
    <t>Earned Service 3</t>
  </si>
  <si>
    <t>Track Planned Months vs Time Spent on Multiple Servcies in Multiple Locations</t>
  </si>
  <si>
    <t>Actual Months</t>
  </si>
  <si>
    <t>Target Months</t>
  </si>
  <si>
    <t>Service Percent Usage 2023</t>
  </si>
  <si>
    <t>Service Percent Usage 2024</t>
  </si>
  <si>
    <t>Service Percent Usage 2025</t>
  </si>
  <si>
    <t>Sales Team</t>
  </si>
  <si>
    <t>Service Incomes</t>
  </si>
  <si>
    <t>Services KPIs</t>
  </si>
  <si>
    <t xml:space="preserve">Team Name: </t>
  </si>
  <si>
    <t>Sales Total</t>
  </si>
  <si>
    <t>Sales Uptakes</t>
  </si>
  <si>
    <t>Sales Totals</t>
  </si>
  <si>
    <t xml:space="preserve">Income Statement </t>
  </si>
  <si>
    <t xml:space="preserve">Balance Sheet </t>
  </si>
  <si>
    <t>Projected Total Visitors</t>
  </si>
  <si>
    <t>Projected Total Sales</t>
  </si>
  <si>
    <t>Percentage Increase From Previous Year</t>
  </si>
  <si>
    <t>Transaction Fees</t>
  </si>
  <si>
    <t>3rd Party HR</t>
  </si>
  <si>
    <t>Cash Inflow</t>
  </si>
  <si>
    <t>Cash Outflow</t>
  </si>
  <si>
    <t>Net Cash</t>
  </si>
  <si>
    <t>Sales Manager</t>
  </si>
  <si>
    <t>Plan Checkers</t>
  </si>
  <si>
    <t>Cloud Services</t>
  </si>
  <si>
    <t>Software Licensing</t>
  </si>
  <si>
    <t>Content Licencing</t>
  </si>
  <si>
    <t>Marketing</t>
  </si>
  <si>
    <t>Hosting</t>
  </si>
  <si>
    <t>Cloud Subscriptions</t>
  </si>
  <si>
    <t>Software</t>
  </si>
  <si>
    <t>IT Equipment</t>
  </si>
  <si>
    <t>Cash Flow Statement 5 Years to December 2028</t>
  </si>
  <si>
    <t>Cash Flow Statement 2028</t>
  </si>
  <si>
    <t>Income Statement 5 Years to December 2028</t>
  </si>
  <si>
    <t>Income Statement Summer 2028</t>
  </si>
  <si>
    <t>Balance Sheet 5 Years to December 2028</t>
  </si>
  <si>
    <t>Cash Flow Statement Summer 2024</t>
  </si>
  <si>
    <t>Balance Sheet 2028</t>
  </si>
  <si>
    <t>2028 Sales Summary</t>
  </si>
  <si>
    <t>Work Meetings</t>
  </si>
  <si>
    <t>Birthday Parties Children</t>
  </si>
  <si>
    <t>Birthday Parties Adults</t>
  </si>
  <si>
    <t>Corporate</t>
  </si>
  <si>
    <t>Weddings</t>
  </si>
  <si>
    <t>Senior Consultant</t>
  </si>
  <si>
    <t>Junior Consultant</t>
  </si>
  <si>
    <t>Logistics Organisers</t>
  </si>
  <si>
    <t>Sales Juniors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</si>
</sst>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%"/>
    <numFmt numFmtId="165" formatCode="#,##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2" tint="-0.499984740745262"/>
      <name val="Arial"/>
      <family val="2"/>
    </font>
    <font>
      <sz val="10"/>
      <color theme="1"/>
      <name val="Arial"/>
      <family val="2"/>
    </font>
    <font>
      <shadow/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7" tint="-0.499984740745262"/>
      <name val="Arial"/>
      <family val="2"/>
    </font>
    <font>
      <sz val="18"/>
      <color theme="1" tint="0.34998626667073579"/>
      <name val="Century Gothic"/>
      <family val="2"/>
    </font>
    <font>
      <sz val="12"/>
      <color theme="8" tint="-0.249977111117893"/>
      <name val="Century Gothic"/>
      <family val="1"/>
    </font>
    <font>
      <sz val="10"/>
      <color theme="0"/>
      <name val="Century Gothic"/>
      <family val="2"/>
    </font>
    <font>
      <sz val="12"/>
      <color theme="1"/>
      <name val="Century Gothic"/>
      <family val="1"/>
    </font>
    <font>
      <sz val="11"/>
      <color theme="1" tint="0.1499984740745262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8" tint="0.39997558519241921"/>
      </left>
      <right/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1" tint="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470">
    <xf numFmtId="0" fontId="0" fillId="0" borderId="0" xfId="0"/>
    <xf numFmtId="3" fontId="0" fillId="0" borderId="0" xfId="0" applyNumberFormat="1"/>
    <xf numFmtId="10" fontId="0" fillId="0" borderId="0" xfId="0" applyNumberFormat="1"/>
    <xf numFmtId="1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0" xfId="0" applyFont="1"/>
    <xf numFmtId="0" fontId="0" fillId="0" borderId="8" xfId="0" applyBorder="1" applyAlignment="1">
      <alignment horizontal="center"/>
    </xf>
    <xf numFmtId="0" fontId="0" fillId="6" borderId="0" xfId="0" applyFill="1"/>
    <xf numFmtId="9" fontId="0" fillId="0" borderId="0" xfId="1" applyFont="1" applyAlignment="1">
      <alignment horizontal="center"/>
    </xf>
    <xf numFmtId="0" fontId="0" fillId="3" borderId="10" xfId="0" applyFill="1" applyBorder="1"/>
    <xf numFmtId="9" fontId="0" fillId="4" borderId="0" xfId="0" applyNumberFormat="1" applyFill="1" applyAlignment="1">
      <alignment horizontal="center"/>
    </xf>
    <xf numFmtId="0" fontId="0" fillId="7" borderId="0" xfId="0" applyFill="1"/>
    <xf numFmtId="3" fontId="0" fillId="0" borderId="3" xfId="0" applyNumberFormat="1" applyBorder="1"/>
    <xf numFmtId="9" fontId="0" fillId="0" borderId="0" xfId="0" applyNumberFormat="1"/>
    <xf numFmtId="3" fontId="0" fillId="0" borderId="8" xfId="0" applyNumberFormat="1" applyBorder="1"/>
    <xf numFmtId="10" fontId="0" fillId="6" borderId="0" xfId="0" applyNumberFormat="1" applyFill="1"/>
    <xf numFmtId="0" fontId="0" fillId="6" borderId="0" xfId="0" applyFill="1" applyAlignment="1">
      <alignment horizontal="center"/>
    </xf>
    <xf numFmtId="0" fontId="2" fillId="0" borderId="0" xfId="0" applyFont="1"/>
    <xf numFmtId="0" fontId="0" fillId="3" borderId="9" xfId="0" applyFill="1" applyBorder="1"/>
    <xf numFmtId="0" fontId="0" fillId="3" borderId="3" xfId="0" applyFill="1" applyBorder="1"/>
    <xf numFmtId="3" fontId="0" fillId="4" borderId="0" xfId="0" applyNumberForma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9" fontId="0" fillId="4" borderId="7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9" fontId="0" fillId="4" borderId="4" xfId="0" applyNumberFormat="1" applyFill="1" applyBorder="1" applyAlignment="1">
      <alignment horizontal="center"/>
    </xf>
    <xf numFmtId="9" fontId="0" fillId="4" borderId="9" xfId="1" applyFont="1" applyFill="1" applyBorder="1" applyAlignment="1">
      <alignment horizontal="center"/>
    </xf>
    <xf numFmtId="9" fontId="0" fillId="4" borderId="11" xfId="1" applyFont="1" applyFill="1" applyBorder="1" applyAlignment="1">
      <alignment horizontal="center"/>
    </xf>
    <xf numFmtId="9" fontId="0" fillId="4" borderId="10" xfId="1" applyFont="1" applyFill="1" applyBorder="1" applyAlignment="1">
      <alignment horizontal="center"/>
    </xf>
    <xf numFmtId="9" fontId="0" fillId="4" borderId="11" xfId="0" applyNumberFormat="1" applyFill="1" applyBorder="1" applyAlignment="1">
      <alignment horizontal="center"/>
    </xf>
    <xf numFmtId="10" fontId="0" fillId="4" borderId="8" xfId="0" applyNumberFormat="1" applyFill="1" applyBorder="1" applyAlignment="1">
      <alignment horizontal="center"/>
    </xf>
    <xf numFmtId="10" fontId="0" fillId="4" borderId="11" xfId="0" applyNumberFormat="1" applyFill="1" applyBorder="1" applyAlignment="1">
      <alignment horizontal="center"/>
    </xf>
    <xf numFmtId="9" fontId="0" fillId="4" borderId="9" xfId="0" applyNumberFormat="1" applyFill="1" applyBorder="1" applyAlignment="1">
      <alignment horizontal="center"/>
    </xf>
    <xf numFmtId="9" fontId="0" fillId="4" borderId="10" xfId="0" applyNumberFormat="1" applyFill="1" applyBorder="1" applyAlignment="1">
      <alignment horizontal="center"/>
    </xf>
    <xf numFmtId="10" fontId="0" fillId="4" borderId="5" xfId="0" applyNumberFormat="1" applyFill="1" applyBorder="1" applyAlignment="1">
      <alignment horizontal="center"/>
    </xf>
    <xf numFmtId="10" fontId="0" fillId="4" borderId="6" xfId="0" applyNumberFormat="1" applyFill="1" applyBorder="1" applyAlignment="1">
      <alignment horizontal="center"/>
    </xf>
    <xf numFmtId="10" fontId="0" fillId="4" borderId="9" xfId="0" applyNumberFormat="1" applyFill="1" applyBorder="1" applyAlignment="1">
      <alignment horizontal="center"/>
    </xf>
    <xf numFmtId="10" fontId="0" fillId="4" borderId="10" xfId="0" applyNumberFormat="1" applyFill="1" applyBorder="1" applyAlignment="1">
      <alignment horizontal="center"/>
    </xf>
    <xf numFmtId="0" fontId="10" fillId="0" borderId="0" xfId="0" applyFont="1" applyAlignment="1">
      <alignment horizontal="left" vertical="center" wrapText="1" indent="1"/>
    </xf>
    <xf numFmtId="0" fontId="11" fillId="8" borderId="24" xfId="0" applyFont="1" applyFill="1" applyBorder="1" applyAlignment="1">
      <alignment horizontal="left" vertical="center" wrapText="1" indent="1"/>
    </xf>
    <xf numFmtId="0" fontId="11" fillId="9" borderId="24" xfId="0" applyFont="1" applyFill="1" applyBorder="1" applyAlignment="1">
      <alignment horizontal="left" vertical="center" wrapText="1" indent="1"/>
    </xf>
    <xf numFmtId="0" fontId="11" fillId="2" borderId="24" xfId="0" applyFont="1" applyFill="1" applyBorder="1" applyAlignment="1">
      <alignment horizontal="left" vertical="center" wrapText="1" indent="1"/>
    </xf>
    <xf numFmtId="0" fontId="11" fillId="10" borderId="24" xfId="0" applyFont="1" applyFill="1" applyBorder="1" applyAlignment="1">
      <alignment horizontal="left" vertical="center" wrapText="1" indent="1"/>
    </xf>
    <xf numFmtId="0" fontId="9" fillId="11" borderId="24" xfId="0" applyFont="1" applyFill="1" applyBorder="1" applyAlignment="1">
      <alignment horizontal="left" vertical="center" wrapText="1" indent="1"/>
    </xf>
    <xf numFmtId="0" fontId="11" fillId="12" borderId="24" xfId="0" applyFont="1" applyFill="1" applyBorder="1" applyAlignment="1">
      <alignment horizontal="left" vertical="center" wrapText="1" indent="1"/>
    </xf>
    <xf numFmtId="0" fontId="11" fillId="13" borderId="24" xfId="0" applyFont="1" applyFill="1" applyBorder="1" applyAlignment="1">
      <alignment horizontal="left" vertical="center" wrapText="1" indent="1"/>
    </xf>
    <xf numFmtId="0" fontId="11" fillId="14" borderId="24" xfId="0" applyFont="1" applyFill="1" applyBorder="1" applyAlignment="1">
      <alignment horizontal="left" vertical="center" wrapText="1" indent="1"/>
    </xf>
    <xf numFmtId="0" fontId="10" fillId="0" borderId="25" xfId="0" applyFont="1" applyBorder="1" applyAlignment="1">
      <alignment horizontal="left" vertical="center" wrapText="1" indent="1"/>
    </xf>
    <xf numFmtId="9" fontId="10" fillId="0" borderId="25" xfId="1" applyFont="1" applyBorder="1" applyAlignment="1">
      <alignment horizontal="left" vertical="center" wrapText="1" indent="1"/>
    </xf>
    <xf numFmtId="1" fontId="10" fillId="0" borderId="25" xfId="0" applyNumberFormat="1" applyFont="1" applyBorder="1" applyAlignment="1">
      <alignment horizontal="left" vertical="center" wrapText="1" indent="1"/>
    </xf>
    <xf numFmtId="0" fontId="10" fillId="3" borderId="25" xfId="0" applyFont="1" applyFill="1" applyBorder="1" applyAlignment="1">
      <alignment horizontal="left" vertical="center" wrapText="1" indent="1"/>
    </xf>
    <xf numFmtId="9" fontId="10" fillId="3" borderId="25" xfId="1" applyFont="1" applyFill="1" applyBorder="1" applyAlignment="1">
      <alignment horizontal="left" vertical="center" wrapText="1" indent="1"/>
    </xf>
    <xf numFmtId="9" fontId="9" fillId="0" borderId="0" xfId="1" applyFont="1" applyAlignment="1">
      <alignment horizontal="left" vertical="center" wrapText="1" indent="1"/>
    </xf>
    <xf numFmtId="0" fontId="0" fillId="0" borderId="26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2" fillId="20" borderId="26" xfId="0" applyFont="1" applyFill="1" applyBorder="1" applyAlignment="1">
      <alignment horizontal="center" vertical="center" wrapText="1"/>
    </xf>
    <xf numFmtId="0" fontId="10" fillId="17" borderId="2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15" borderId="26" xfId="0" applyFont="1" applyFill="1" applyBorder="1" applyAlignment="1">
      <alignment horizontal="center" vertical="center" wrapText="1"/>
    </xf>
    <xf numFmtId="0" fontId="10" fillId="16" borderId="26" xfId="0" applyFont="1" applyFill="1" applyBorder="1" applyAlignment="1">
      <alignment horizontal="center" vertical="center" wrapText="1"/>
    </xf>
    <xf numFmtId="0" fontId="10" fillId="18" borderId="26" xfId="0" applyFont="1" applyFill="1" applyBorder="1" applyAlignment="1">
      <alignment horizontal="center" vertical="center" wrapText="1"/>
    </xf>
    <xf numFmtId="0" fontId="12" fillId="19" borderId="26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21" borderId="25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9" fontId="19" fillId="0" borderId="25" xfId="1" applyFont="1" applyBorder="1" applyAlignment="1">
      <alignment horizontal="center" vertical="center"/>
    </xf>
    <xf numFmtId="9" fontId="19" fillId="16" borderId="25" xfId="1" applyFont="1" applyFill="1" applyBorder="1" applyAlignment="1">
      <alignment horizontal="center" vertical="center"/>
    </xf>
    <xf numFmtId="0" fontId="20" fillId="0" borderId="0" xfId="0" applyFont="1"/>
    <xf numFmtId="0" fontId="21" fillId="2" borderId="0" xfId="0" applyFont="1" applyFill="1" applyAlignment="1">
      <alignment horizontal="center" vertical="center" wrapText="1"/>
    </xf>
    <xf numFmtId="2" fontId="22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0" fontId="13" fillId="3" borderId="39" xfId="0" applyFont="1" applyFill="1" applyBorder="1" applyAlignment="1">
      <alignment horizontal="right"/>
    </xf>
    <xf numFmtId="0" fontId="13" fillId="5" borderId="41" xfId="0" applyFont="1" applyFill="1" applyBorder="1"/>
    <xf numFmtId="0" fontId="13" fillId="6" borderId="0" xfId="0" applyFont="1" applyFill="1"/>
    <xf numFmtId="0" fontId="15" fillId="6" borderId="0" xfId="0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23" fillId="0" borderId="0" xfId="0" applyFont="1" applyAlignment="1">
      <alignment horizontal="left"/>
    </xf>
    <xf numFmtId="0" fontId="11" fillId="22" borderId="24" xfId="0" applyFont="1" applyFill="1" applyBorder="1" applyAlignment="1">
      <alignment horizontal="left" vertical="center" wrapText="1" indent="1"/>
    </xf>
    <xf numFmtId="0" fontId="11" fillId="23" borderId="2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 indent="1"/>
    </xf>
    <xf numFmtId="9" fontId="10" fillId="0" borderId="0" xfId="1" applyFont="1" applyFill="1" applyBorder="1" applyAlignment="1">
      <alignment horizontal="right" vertical="center" wrapText="1" indent="1"/>
    </xf>
    <xf numFmtId="0" fontId="26" fillId="3" borderId="0" xfId="0" applyFont="1" applyFill="1"/>
    <xf numFmtId="0" fontId="26" fillId="6" borderId="0" xfId="0" applyFont="1" applyFill="1"/>
    <xf numFmtId="0" fontId="27" fillId="3" borderId="42" xfId="0" applyFont="1" applyFill="1" applyBorder="1" applyAlignment="1">
      <alignment horizontal="right" vertical="center" indent="1"/>
    </xf>
    <xf numFmtId="0" fontId="28" fillId="0" borderId="0" xfId="0" applyFont="1" applyAlignment="1">
      <alignment horizontal="center"/>
    </xf>
    <xf numFmtId="0" fontId="31" fillId="5" borderId="42" xfId="0" applyFont="1" applyFill="1" applyBorder="1" applyAlignment="1">
      <alignment vertical="center"/>
    </xf>
    <xf numFmtId="9" fontId="32" fillId="3" borderId="42" xfId="0" applyNumberFormat="1" applyFont="1" applyFill="1" applyBorder="1" applyAlignment="1">
      <alignment horizontal="center" vertical="center"/>
    </xf>
    <xf numFmtId="2" fontId="32" fillId="3" borderId="42" xfId="0" applyNumberFormat="1" applyFont="1" applyFill="1" applyBorder="1" applyAlignment="1">
      <alignment horizontal="center" vertical="center"/>
    </xf>
    <xf numFmtId="0" fontId="24" fillId="11" borderId="44" xfId="0" applyFont="1" applyFill="1" applyBorder="1" applyAlignment="1">
      <alignment horizontal="right" vertical="center" wrapText="1" indent="1"/>
    </xf>
    <xf numFmtId="0" fontId="11" fillId="9" borderId="24" xfId="0" applyFont="1" applyFill="1" applyBorder="1" applyAlignment="1">
      <alignment horizontal="center" vertical="center" wrapText="1"/>
    </xf>
    <xf numFmtId="0" fontId="11" fillId="9" borderId="43" xfId="0" applyFont="1" applyFill="1" applyBorder="1" applyAlignment="1">
      <alignment horizontal="center" vertical="center" wrapText="1"/>
    </xf>
    <xf numFmtId="10" fontId="10" fillId="6" borderId="25" xfId="0" applyNumberFormat="1" applyFont="1" applyFill="1" applyBorder="1" applyAlignment="1">
      <alignment horizontal="right" vertical="center" wrapText="1" indent="1"/>
    </xf>
    <xf numFmtId="10" fontId="10" fillId="11" borderId="45" xfId="0" applyNumberFormat="1" applyFont="1" applyFill="1" applyBorder="1" applyAlignment="1">
      <alignment horizontal="right" vertical="center" wrapText="1" indent="1"/>
    </xf>
    <xf numFmtId="0" fontId="0" fillId="25" borderId="39" xfId="0" applyFill="1" applyBorder="1"/>
    <xf numFmtId="0" fontId="0" fillId="25" borderId="16" xfId="0" applyFill="1" applyBorder="1" applyAlignment="1">
      <alignment horizontal="right"/>
    </xf>
    <xf numFmtId="0" fontId="0" fillId="25" borderId="16" xfId="0" applyFill="1" applyBorder="1"/>
    <xf numFmtId="0" fontId="0" fillId="25" borderId="40" xfId="0" applyFill="1" applyBorder="1"/>
    <xf numFmtId="0" fontId="0" fillId="6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34" fillId="3" borderId="0" xfId="0" applyFont="1" applyFill="1" applyAlignment="1">
      <alignment horizontal="left" vertical="center"/>
    </xf>
    <xf numFmtId="0" fontId="35" fillId="6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0" borderId="49" xfId="0" applyBorder="1" applyAlignment="1" applyProtection="1">
      <alignment vertical="center"/>
      <protection hidden="1"/>
    </xf>
    <xf numFmtId="3" fontId="0" fillId="0" borderId="49" xfId="0" applyNumberFormat="1" applyBorder="1" applyAlignment="1" applyProtection="1">
      <alignment vertical="center"/>
      <protection locked="0"/>
    </xf>
    <xf numFmtId="3" fontId="2" fillId="3" borderId="49" xfId="0" applyNumberFormat="1" applyFont="1" applyFill="1" applyBorder="1" applyAlignment="1" applyProtection="1">
      <alignment vertical="center"/>
      <protection hidden="1"/>
    </xf>
    <xf numFmtId="164" fontId="0" fillId="0" borderId="49" xfId="1" applyNumberFormat="1" applyFont="1" applyBorder="1" applyAlignment="1" applyProtection="1">
      <alignment vertical="center"/>
      <protection locked="0"/>
    </xf>
    <xf numFmtId="164" fontId="2" fillId="3" borderId="49" xfId="1" applyNumberFormat="1" applyFont="1" applyFill="1" applyBorder="1" applyAlignment="1" applyProtection="1">
      <alignment vertical="center"/>
      <protection hidden="1"/>
    </xf>
    <xf numFmtId="1" fontId="0" fillId="0" borderId="49" xfId="0" applyNumberFormat="1" applyBorder="1" applyAlignment="1" applyProtection="1">
      <alignment vertical="center"/>
      <protection locked="0"/>
    </xf>
    <xf numFmtId="0" fontId="0" fillId="0" borderId="50" xfId="0" applyBorder="1"/>
    <xf numFmtId="0" fontId="0" fillId="0" borderId="51" xfId="0" applyBorder="1"/>
    <xf numFmtId="0" fontId="2" fillId="0" borderId="0" xfId="0" applyFont="1" applyAlignment="1">
      <alignment horizontal="left" indent="5"/>
    </xf>
    <xf numFmtId="0" fontId="2" fillId="6" borderId="0" xfId="0" applyFont="1" applyFill="1"/>
    <xf numFmtId="0" fontId="3" fillId="6" borderId="0" xfId="0" applyFont="1" applyFill="1" applyAlignment="1">
      <alignment horizontal="left" indent="5"/>
    </xf>
    <xf numFmtId="3" fontId="0" fillId="6" borderId="0" xfId="0" applyNumberFormat="1" applyFill="1"/>
    <xf numFmtId="0" fontId="3" fillId="6" borderId="0" xfId="0" applyFont="1" applyFill="1"/>
    <xf numFmtId="3" fontId="37" fillId="6" borderId="0" xfId="0" applyNumberFormat="1" applyFont="1" applyFill="1"/>
    <xf numFmtId="0" fontId="37" fillId="6" borderId="0" xfId="0" applyFont="1" applyFill="1"/>
    <xf numFmtId="0" fontId="36" fillId="6" borderId="0" xfId="0" applyFont="1" applyFill="1"/>
    <xf numFmtId="0" fontId="37" fillId="6" borderId="0" xfId="0" applyFont="1" applyFill="1" applyAlignment="1">
      <alignment horizontal="left" indent="2"/>
    </xf>
    <xf numFmtId="0" fontId="36" fillId="6" borderId="0" xfId="0" applyFont="1" applyFill="1" applyAlignment="1">
      <alignment vertical="center"/>
    </xf>
    <xf numFmtId="0" fontId="37" fillId="6" borderId="0" xfId="0" applyFont="1" applyFill="1" applyAlignment="1">
      <alignment horizontal="left" vertical="center" indent="2"/>
    </xf>
    <xf numFmtId="0" fontId="0" fillId="6" borderId="0" xfId="0" applyFill="1" applyAlignment="1">
      <alignment horizontal="left" vertical="center" indent="2"/>
    </xf>
    <xf numFmtId="0" fontId="0" fillId="21" borderId="0" xfId="0" applyFill="1"/>
    <xf numFmtId="0" fontId="40" fillId="21" borderId="0" xfId="0" applyFont="1" applyFill="1"/>
    <xf numFmtId="3" fontId="40" fillId="21" borderId="0" xfId="0" applyNumberFormat="1" applyFont="1" applyFill="1"/>
    <xf numFmtId="0" fontId="40" fillId="16" borderId="0" xfId="0" applyFont="1" applyFill="1"/>
    <xf numFmtId="0" fontId="41" fillId="21" borderId="0" xfId="0" applyFont="1" applyFill="1"/>
    <xf numFmtId="0" fontId="8" fillId="21" borderId="0" xfId="0" applyFont="1" applyFill="1"/>
    <xf numFmtId="0" fontId="8" fillId="16" borderId="0" xfId="0" applyFont="1" applyFill="1"/>
    <xf numFmtId="3" fontId="8" fillId="16" borderId="0" xfId="0" applyNumberFormat="1" applyFont="1" applyFill="1"/>
    <xf numFmtId="0" fontId="38" fillId="6" borderId="0" xfId="0" applyFont="1" applyFill="1"/>
    <xf numFmtId="3" fontId="38" fillId="6" borderId="0" xfId="0" applyNumberFormat="1" applyFont="1" applyFill="1"/>
    <xf numFmtId="0" fontId="37" fillId="6" borderId="0" xfId="0" applyFont="1" applyFill="1" applyAlignment="1">
      <alignment horizontal="right"/>
    </xf>
    <xf numFmtId="0" fontId="41" fillId="16" borderId="0" xfId="0" applyFont="1" applyFill="1"/>
    <xf numFmtId="3" fontId="40" fillId="16" borderId="0" xfId="0" applyNumberFormat="1" applyFont="1" applyFill="1"/>
    <xf numFmtId="3" fontId="8" fillId="21" borderId="0" xfId="0" applyNumberFormat="1" applyFont="1" applyFill="1"/>
    <xf numFmtId="0" fontId="42" fillId="11" borderId="53" xfId="0" applyFont="1" applyFill="1" applyBorder="1"/>
    <xf numFmtId="0" fontId="43" fillId="11" borderId="53" xfId="0" applyFont="1" applyFill="1" applyBorder="1"/>
    <xf numFmtId="3" fontId="42" fillId="11" borderId="53" xfId="0" applyNumberFormat="1" applyFont="1" applyFill="1" applyBorder="1"/>
    <xf numFmtId="0" fontId="0" fillId="16" borderId="0" xfId="0" applyFill="1"/>
    <xf numFmtId="0" fontId="2" fillId="16" borderId="0" xfId="0" applyFont="1" applyFill="1"/>
    <xf numFmtId="0" fontId="8" fillId="21" borderId="0" xfId="0" applyFont="1" applyFill="1" applyAlignment="1">
      <alignment vertical="center"/>
    </xf>
    <xf numFmtId="0" fontId="39" fillId="21" borderId="0" xfId="0" applyFont="1" applyFill="1" applyAlignment="1">
      <alignment vertical="center"/>
    </xf>
    <xf numFmtId="3" fontId="8" fillId="21" borderId="0" xfId="0" applyNumberFormat="1" applyFont="1" applyFill="1" applyAlignment="1">
      <alignment vertical="center"/>
    </xf>
    <xf numFmtId="0" fontId="8" fillId="16" borderId="0" xfId="0" applyFont="1" applyFill="1" applyAlignment="1">
      <alignment vertical="center"/>
    </xf>
    <xf numFmtId="0" fontId="39" fillId="16" borderId="0" xfId="0" applyFont="1" applyFill="1" applyAlignment="1">
      <alignment vertical="center"/>
    </xf>
    <xf numFmtId="3" fontId="8" fillId="16" borderId="0" xfId="0" applyNumberFormat="1" applyFont="1" applyFill="1" applyAlignment="1">
      <alignment vertical="center"/>
    </xf>
    <xf numFmtId="0" fontId="0" fillId="11" borderId="54" xfId="0" applyFill="1" applyBorder="1" applyAlignment="1">
      <alignment vertical="center"/>
    </xf>
    <xf numFmtId="0" fontId="36" fillId="11" borderId="54" xfId="0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3" fontId="37" fillId="0" borderId="0" xfId="0" applyNumberFormat="1" applyFont="1"/>
    <xf numFmtId="0" fontId="37" fillId="0" borderId="0" xfId="0" applyFont="1" applyAlignment="1">
      <alignment horizontal="left" indent="2"/>
    </xf>
    <xf numFmtId="0" fontId="37" fillId="0" borderId="0" xfId="0" applyFont="1" applyAlignment="1">
      <alignment horizontal="right"/>
    </xf>
    <xf numFmtId="0" fontId="39" fillId="21" borderId="0" xfId="0" applyFont="1" applyFill="1"/>
    <xf numFmtId="17" fontId="39" fillId="21" borderId="0" xfId="0" applyNumberFormat="1" applyFont="1" applyFill="1"/>
    <xf numFmtId="17" fontId="39" fillId="21" borderId="0" xfId="0" applyNumberFormat="1" applyFont="1" applyFill="1" applyAlignment="1">
      <alignment horizontal="center"/>
    </xf>
    <xf numFmtId="0" fontId="8" fillId="21" borderId="0" xfId="0" applyFont="1" applyFill="1" applyAlignment="1">
      <alignment horizontal="left" indent="1"/>
    </xf>
    <xf numFmtId="3" fontId="37" fillId="0" borderId="0" xfId="0" applyNumberFormat="1" applyFont="1" applyAlignment="1">
      <alignment horizontal="right"/>
    </xf>
    <xf numFmtId="0" fontId="36" fillId="0" borderId="0" xfId="0" applyFont="1" applyAlignment="1">
      <alignment horizontal="left" indent="2"/>
    </xf>
    <xf numFmtId="0" fontId="36" fillId="0" borderId="0" xfId="0" applyFont="1" applyAlignment="1">
      <alignment horizontal="left"/>
    </xf>
    <xf numFmtId="0" fontId="39" fillId="21" borderId="0" xfId="0" applyFont="1" applyFill="1" applyAlignment="1">
      <alignment horizontal="left" indent="2"/>
    </xf>
    <xf numFmtId="3" fontId="8" fillId="21" borderId="0" xfId="0" applyNumberFormat="1" applyFont="1" applyFill="1" applyAlignment="1">
      <alignment horizontal="right"/>
    </xf>
    <xf numFmtId="0" fontId="39" fillId="16" borderId="0" xfId="0" applyFont="1" applyFill="1" applyAlignment="1">
      <alignment horizontal="left" indent="2"/>
    </xf>
    <xf numFmtId="3" fontId="8" fillId="16" borderId="0" xfId="0" applyNumberFormat="1" applyFont="1" applyFill="1" applyAlignment="1">
      <alignment horizontal="right"/>
    </xf>
    <xf numFmtId="0" fontId="39" fillId="16" borderId="0" xfId="0" applyFont="1" applyFill="1"/>
    <xf numFmtId="0" fontId="8" fillId="16" borderId="0" xfId="0" applyFont="1" applyFill="1" applyAlignment="1">
      <alignment horizontal="right"/>
    </xf>
    <xf numFmtId="3" fontId="0" fillId="0" borderId="4" xfId="0" applyNumberFormat="1" applyBorder="1"/>
    <xf numFmtId="9" fontId="0" fillId="0" borderId="3" xfId="0" applyNumberFormat="1" applyBorder="1"/>
    <xf numFmtId="9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43" fillId="16" borderId="0" xfId="0" applyFont="1" applyFill="1"/>
    <xf numFmtId="0" fontId="43" fillId="16" borderId="0" xfId="0" applyFont="1" applyFill="1" applyAlignment="1">
      <alignment horizontal="center"/>
    </xf>
    <xf numFmtId="3" fontId="2" fillId="0" borderId="0" xfId="0" applyNumberFormat="1" applyFont="1"/>
    <xf numFmtId="0" fontId="0" fillId="6" borderId="55" xfId="0" applyFill="1" applyBorder="1"/>
    <xf numFmtId="0" fontId="0" fillId="6" borderId="7" xfId="0" applyFill="1" applyBorder="1"/>
    <xf numFmtId="3" fontId="0" fillId="6" borderId="7" xfId="0" applyNumberFormat="1" applyFill="1" applyBorder="1"/>
    <xf numFmtId="0" fontId="8" fillId="16" borderId="56" xfId="0" applyFont="1" applyFill="1" applyBorder="1" applyAlignment="1">
      <alignment horizontal="left" indent="1"/>
    </xf>
    <xf numFmtId="0" fontId="8" fillId="16" borderId="56" xfId="0" applyFont="1" applyFill="1" applyBorder="1"/>
    <xf numFmtId="17" fontId="41" fillId="16" borderId="0" xfId="0" applyNumberFormat="1" applyFont="1" applyFill="1" applyAlignment="1">
      <alignment horizontal="center"/>
    </xf>
    <xf numFmtId="0" fontId="41" fillId="21" borderId="0" xfId="0" applyFont="1" applyFill="1" applyAlignment="1">
      <alignment horizontal="center"/>
    </xf>
    <xf numFmtId="0" fontId="39" fillId="16" borderId="0" xfId="0" applyFont="1" applyFill="1" applyAlignment="1">
      <alignment horizontal="center"/>
    </xf>
    <xf numFmtId="0" fontId="8" fillId="16" borderId="0" xfId="0" applyFont="1" applyFill="1" applyAlignment="1">
      <alignment horizontal="left" indent="1"/>
    </xf>
    <xf numFmtId="3" fontId="0" fillId="0" borderId="0" xfId="0" applyNumberFormat="1" applyAlignment="1">
      <alignment horizontal="center"/>
    </xf>
    <xf numFmtId="17" fontId="39" fillId="16" borderId="0" xfId="0" applyNumberFormat="1" applyFont="1" applyFill="1" applyAlignment="1">
      <alignment horizontal="center"/>
    </xf>
    <xf numFmtId="0" fontId="39" fillId="21" borderId="0" xfId="0" applyFont="1" applyFill="1" applyAlignment="1">
      <alignment horizontal="center"/>
    </xf>
    <xf numFmtId="0" fontId="0" fillId="2" borderId="0" xfId="0" applyFill="1"/>
    <xf numFmtId="3" fontId="2" fillId="0" borderId="0" xfId="0" applyNumberFormat="1" applyFont="1" applyAlignment="1">
      <alignment horizontal="center"/>
    </xf>
    <xf numFmtId="0" fontId="8" fillId="21" borderId="0" xfId="0" applyFont="1" applyFill="1" applyAlignment="1">
      <alignment horizontal="center"/>
    </xf>
    <xf numFmtId="3" fontId="8" fillId="21" borderId="0" xfId="0" applyNumberFormat="1" applyFont="1" applyFill="1" applyAlignment="1">
      <alignment horizontal="center"/>
    </xf>
    <xf numFmtId="3" fontId="8" fillId="16" borderId="56" xfId="0" applyNumberFormat="1" applyFont="1" applyFill="1" applyBorder="1" applyAlignment="1">
      <alignment horizontal="center"/>
    </xf>
    <xf numFmtId="3" fontId="8" fillId="16" borderId="0" xfId="0" applyNumberFormat="1" applyFon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3" fontId="37" fillId="0" borderId="55" xfId="0" applyNumberFormat="1" applyFont="1" applyBorder="1"/>
    <xf numFmtId="3" fontId="38" fillId="0" borderId="0" xfId="0" applyNumberFormat="1" applyFont="1"/>
    <xf numFmtId="3" fontId="0" fillId="11" borderId="52" xfId="0" applyNumberFormat="1" applyFill="1" applyBorder="1"/>
    <xf numFmtId="3" fontId="0" fillId="4" borderId="9" xfId="0" applyNumberFormat="1" applyFill="1" applyBorder="1" applyAlignment="1">
      <alignment horizontal="center"/>
    </xf>
    <xf numFmtId="0" fontId="39" fillId="21" borderId="9" xfId="0" applyFont="1" applyFill="1" applyBorder="1" applyAlignment="1">
      <alignment horizontal="center"/>
    </xf>
    <xf numFmtId="0" fontId="39" fillId="21" borderId="11" xfId="0" applyFont="1" applyFill="1" applyBorder="1" applyAlignment="1">
      <alignment horizontal="center"/>
    </xf>
    <xf numFmtId="0" fontId="39" fillId="21" borderId="10" xfId="0" applyFont="1" applyFill="1" applyBorder="1" applyAlignment="1">
      <alignment horizontal="center"/>
    </xf>
    <xf numFmtId="3" fontId="0" fillId="24" borderId="12" xfId="0" applyNumberFormat="1" applyFill="1" applyBorder="1" applyAlignment="1">
      <alignment horizontal="left"/>
    </xf>
    <xf numFmtId="3" fontId="0" fillId="24" borderId="13" xfId="0" applyNumberFormat="1" applyFill="1" applyBorder="1" applyAlignment="1">
      <alignment horizontal="left"/>
    </xf>
    <xf numFmtId="3" fontId="0" fillId="24" borderId="14" xfId="0" applyNumberFormat="1" applyFill="1" applyBorder="1" applyAlignment="1">
      <alignment horizontal="left"/>
    </xf>
    <xf numFmtId="3" fontId="0" fillId="24" borderId="15" xfId="0" applyNumberFormat="1" applyFill="1" applyBorder="1" applyAlignment="1">
      <alignment horizontal="left"/>
    </xf>
    <xf numFmtId="3" fontId="0" fillId="24" borderId="16" xfId="0" applyNumberFormat="1" applyFill="1" applyBorder="1" applyAlignment="1">
      <alignment horizontal="left"/>
    </xf>
    <xf numFmtId="3" fontId="0" fillId="24" borderId="17" xfId="0" applyNumberFormat="1" applyFill="1" applyBorder="1" applyAlignment="1">
      <alignment horizontal="left"/>
    </xf>
    <xf numFmtId="3" fontId="10" fillId="6" borderId="25" xfId="0" applyNumberFormat="1" applyFont="1" applyFill="1" applyBorder="1" applyAlignment="1">
      <alignment horizontal="right" vertical="center" wrapText="1" indent="1"/>
    </xf>
    <xf numFmtId="3" fontId="10" fillId="24" borderId="25" xfId="0" applyNumberFormat="1" applyFont="1" applyFill="1" applyBorder="1" applyAlignment="1">
      <alignment horizontal="center" vertical="center" wrapText="1"/>
    </xf>
    <xf numFmtId="3" fontId="10" fillId="24" borderId="25" xfId="0" applyNumberFormat="1" applyFont="1" applyFill="1" applyBorder="1" applyAlignment="1">
      <alignment horizontal="right" vertical="center" wrapText="1" indent="1"/>
    </xf>
    <xf numFmtId="3" fontId="10" fillId="6" borderId="21" xfId="0" applyNumberFormat="1" applyFont="1" applyFill="1" applyBorder="1" applyAlignment="1">
      <alignment horizontal="right" vertical="center" wrapText="1" indent="1"/>
    </xf>
    <xf numFmtId="3" fontId="10" fillId="11" borderId="45" xfId="0" applyNumberFormat="1" applyFont="1" applyFill="1" applyBorder="1" applyAlignment="1">
      <alignment horizontal="right" vertical="center" wrapText="1" indent="1"/>
    </xf>
    <xf numFmtId="3" fontId="10" fillId="11" borderId="45" xfId="0" applyNumberFormat="1" applyFont="1" applyFill="1" applyBorder="1" applyAlignment="1">
      <alignment horizontal="center" vertical="center" wrapText="1"/>
    </xf>
    <xf numFmtId="3" fontId="10" fillId="0" borderId="25" xfId="2" applyNumberFormat="1" applyFont="1" applyBorder="1" applyAlignment="1">
      <alignment horizontal="left" vertical="center" wrapText="1" indent="1"/>
    </xf>
    <xf numFmtId="3" fontId="10" fillId="0" borderId="25" xfId="0" applyNumberFormat="1" applyFont="1" applyBorder="1" applyAlignment="1">
      <alignment horizontal="left" vertical="center" wrapText="1" indent="1"/>
    </xf>
    <xf numFmtId="3" fontId="10" fillId="3" borderId="25" xfId="2" applyNumberFormat="1" applyFont="1" applyFill="1" applyBorder="1" applyAlignment="1">
      <alignment horizontal="left" vertical="center" wrapText="1" indent="1"/>
    </xf>
    <xf numFmtId="3" fontId="10" fillId="3" borderId="25" xfId="0" applyNumberFormat="1" applyFont="1" applyFill="1" applyBorder="1" applyAlignment="1">
      <alignment horizontal="left" vertical="center" wrapText="1" indent="1"/>
    </xf>
    <xf numFmtId="3" fontId="9" fillId="0" borderId="0" xfId="0" applyNumberFormat="1" applyFont="1" applyAlignment="1">
      <alignment horizontal="left" vertical="center" wrapText="1" indent="1"/>
    </xf>
    <xf numFmtId="3" fontId="10" fillId="0" borderId="26" xfId="0" applyNumberFormat="1" applyFon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/>
    </xf>
    <xf numFmtId="0" fontId="0" fillId="26" borderId="0" xfId="0" applyFill="1"/>
    <xf numFmtId="0" fontId="0" fillId="26" borderId="0" xfId="0" applyFill="1" applyAlignment="1">
      <alignment horizontal="center"/>
    </xf>
    <xf numFmtId="0" fontId="39" fillId="21" borderId="49" xfId="0" applyFont="1" applyFill="1" applyBorder="1" applyAlignment="1">
      <alignment horizontal="center" vertical="center"/>
    </xf>
    <xf numFmtId="0" fontId="39" fillId="21" borderId="49" xfId="0" applyFont="1" applyFill="1" applyBorder="1" applyAlignment="1" applyProtection="1">
      <alignment horizontal="center" vertical="center"/>
      <protection hidden="1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3" fontId="0" fillId="24" borderId="59" xfId="0" applyNumberFormat="1" applyFill="1" applyBorder="1" applyAlignment="1">
      <alignment horizontal="left"/>
    </xf>
    <xf numFmtId="3" fontId="0" fillId="24" borderId="60" xfId="0" applyNumberFormat="1" applyFill="1" applyBorder="1" applyAlignment="1">
      <alignment horizontal="left"/>
    </xf>
    <xf numFmtId="3" fontId="0" fillId="24" borderId="61" xfId="0" applyNumberFormat="1" applyFill="1" applyBorder="1" applyAlignment="1">
      <alignment horizontal="left"/>
    </xf>
    <xf numFmtId="0" fontId="0" fillId="0" borderId="16" xfId="0" applyBorder="1"/>
    <xf numFmtId="0" fontId="0" fillId="0" borderId="62" xfId="0" applyBorder="1"/>
    <xf numFmtId="0" fontId="0" fillId="0" borderId="63" xfId="0" applyBorder="1"/>
    <xf numFmtId="0" fontId="0" fillId="0" borderId="41" xfId="0" applyBorder="1"/>
    <xf numFmtId="0" fontId="0" fillId="6" borderId="41" xfId="0" applyFill="1" applyBorder="1"/>
    <xf numFmtId="0" fontId="2" fillId="6" borderId="41" xfId="0" applyFont="1" applyFill="1" applyBorder="1"/>
    <xf numFmtId="0" fontId="0" fillId="6" borderId="64" xfId="0" applyFill="1" applyBorder="1"/>
    <xf numFmtId="0" fontId="3" fillId="6" borderId="65" xfId="0" applyFont="1" applyFill="1" applyBorder="1"/>
    <xf numFmtId="0" fontId="0" fillId="6" borderId="65" xfId="0" applyFill="1" applyBorder="1"/>
    <xf numFmtId="0" fontId="0" fillId="6" borderId="66" xfId="0" applyFill="1" applyBorder="1"/>
    <xf numFmtId="0" fontId="0" fillId="6" borderId="67" xfId="0" applyFill="1" applyBorder="1"/>
    <xf numFmtId="0" fontId="0" fillId="6" borderId="49" xfId="0" applyFill="1" applyBorder="1"/>
    <xf numFmtId="0" fontId="0" fillId="6" borderId="68" xfId="0" applyFill="1" applyBorder="1"/>
    <xf numFmtId="0" fontId="2" fillId="6" borderId="68" xfId="0" applyFont="1" applyFill="1" applyBorder="1"/>
    <xf numFmtId="0" fontId="0" fillId="0" borderId="67" xfId="0" applyBorder="1"/>
    <xf numFmtId="0" fontId="0" fillId="0" borderId="49" xfId="0" applyBorder="1"/>
    <xf numFmtId="0" fontId="0" fillId="0" borderId="68" xfId="0" applyBorder="1"/>
    <xf numFmtId="0" fontId="37" fillId="6" borderId="67" xfId="0" applyFont="1" applyFill="1" applyBorder="1" applyAlignment="1">
      <alignment horizontal="left" indent="2"/>
    </xf>
    <xf numFmtId="9" fontId="0" fillId="0" borderId="49" xfId="0" applyNumberFormat="1" applyBorder="1"/>
    <xf numFmtId="9" fontId="0" fillId="6" borderId="49" xfId="0" applyNumberFormat="1" applyFill="1" applyBorder="1"/>
    <xf numFmtId="0" fontId="37" fillId="6" borderId="49" xfId="0" applyFont="1" applyFill="1" applyBorder="1" applyAlignment="1">
      <alignment horizontal="left" indent="2"/>
    </xf>
    <xf numFmtId="3" fontId="37" fillId="6" borderId="49" xfId="0" applyNumberFormat="1" applyFont="1" applyFill="1" applyBorder="1"/>
    <xf numFmtId="0" fontId="40" fillId="21" borderId="69" xfId="0" applyFont="1" applyFill="1" applyBorder="1"/>
    <xf numFmtId="0" fontId="41" fillId="21" borderId="70" xfId="0" applyFont="1" applyFill="1" applyBorder="1"/>
    <xf numFmtId="0" fontId="40" fillId="21" borderId="70" xfId="0" applyFont="1" applyFill="1" applyBorder="1"/>
    <xf numFmtId="0" fontId="40" fillId="13" borderId="70" xfId="0" applyFont="1" applyFill="1" applyBorder="1" applyAlignment="1">
      <alignment horizontal="center"/>
    </xf>
    <xf numFmtId="0" fontId="41" fillId="21" borderId="70" xfId="0" applyFont="1" applyFill="1" applyBorder="1" applyAlignment="1">
      <alignment horizontal="center"/>
    </xf>
    <xf numFmtId="0" fontId="40" fillId="16" borderId="69" xfId="0" applyFont="1" applyFill="1" applyBorder="1"/>
    <xf numFmtId="0" fontId="41" fillId="16" borderId="70" xfId="0" applyFont="1" applyFill="1" applyBorder="1"/>
    <xf numFmtId="0" fontId="40" fillId="16" borderId="70" xfId="0" applyFont="1" applyFill="1" applyBorder="1"/>
    <xf numFmtId="17" fontId="41" fillId="16" borderId="70" xfId="0" applyNumberFormat="1" applyFont="1" applyFill="1" applyBorder="1" applyAlignment="1">
      <alignment horizontal="center"/>
    </xf>
    <xf numFmtId="17" fontId="41" fillId="16" borderId="71" xfId="0" applyNumberFormat="1" applyFont="1" applyFill="1" applyBorder="1" applyAlignment="1">
      <alignment horizontal="center"/>
    </xf>
    <xf numFmtId="3" fontId="40" fillId="13" borderId="70" xfId="0" applyNumberFormat="1" applyFont="1" applyFill="1" applyBorder="1" applyAlignment="1">
      <alignment horizontal="center"/>
    </xf>
    <xf numFmtId="3" fontId="40" fillId="21" borderId="70" xfId="0" applyNumberFormat="1" applyFont="1" applyFill="1" applyBorder="1"/>
    <xf numFmtId="3" fontId="40" fillId="21" borderId="71" xfId="0" applyNumberFormat="1" applyFont="1" applyFill="1" applyBorder="1"/>
    <xf numFmtId="3" fontId="40" fillId="13" borderId="70" xfId="0" applyNumberFormat="1" applyFont="1" applyFill="1" applyBorder="1"/>
    <xf numFmtId="3" fontId="40" fillId="16" borderId="70" xfId="0" applyNumberFormat="1" applyFont="1" applyFill="1" applyBorder="1"/>
    <xf numFmtId="0" fontId="41" fillId="16" borderId="69" xfId="0" applyFont="1" applyFill="1" applyBorder="1"/>
    <xf numFmtId="0" fontId="0" fillId="16" borderId="70" xfId="0" applyFill="1" applyBorder="1"/>
    <xf numFmtId="0" fontId="39" fillId="16" borderId="71" xfId="0" applyFont="1" applyFill="1" applyBorder="1" applyAlignment="1">
      <alignment horizontal="center"/>
    </xf>
    <xf numFmtId="3" fontId="0" fillId="6" borderId="72" xfId="0" applyNumberFormat="1" applyFill="1" applyBorder="1"/>
    <xf numFmtId="0" fontId="0" fillId="16" borderId="68" xfId="0" applyFill="1" applyBorder="1"/>
    <xf numFmtId="3" fontId="8" fillId="21" borderId="68" xfId="0" applyNumberFormat="1" applyFont="1" applyFill="1" applyBorder="1"/>
    <xf numFmtId="3" fontId="8" fillId="16" borderId="72" xfId="0" applyNumberFormat="1" applyFont="1" applyFill="1" applyBorder="1"/>
    <xf numFmtId="0" fontId="39" fillId="21" borderId="68" xfId="0" applyFont="1" applyFill="1" applyBorder="1" applyAlignment="1">
      <alignment horizontal="center"/>
    </xf>
    <xf numFmtId="3" fontId="0" fillId="27" borderId="40" xfId="0" applyNumberFormat="1" applyFill="1" applyBorder="1"/>
    <xf numFmtId="0" fontId="0" fillId="27" borderId="40" xfId="0" applyFill="1" applyBorder="1"/>
    <xf numFmtId="0" fontId="38" fillId="6" borderId="0" xfId="0" applyFont="1" applyFill="1" applyAlignment="1">
      <alignment horizontal="right"/>
    </xf>
    <xf numFmtId="3" fontId="0" fillId="11" borderId="74" xfId="0" applyNumberFormat="1" applyFill="1" applyBorder="1"/>
    <xf numFmtId="3" fontId="0" fillId="11" borderId="75" xfId="0" applyNumberFormat="1" applyFill="1" applyBorder="1"/>
    <xf numFmtId="3" fontId="44" fillId="11" borderId="76" xfId="0" applyNumberFormat="1" applyFont="1" applyFill="1" applyBorder="1" applyAlignment="1">
      <alignment vertical="center"/>
    </xf>
    <xf numFmtId="3" fontId="44" fillId="11" borderId="74" xfId="0" applyNumberFormat="1" applyFont="1" applyFill="1" applyBorder="1"/>
    <xf numFmtId="3" fontId="44" fillId="11" borderId="54" xfId="0" applyNumberFormat="1" applyFont="1" applyFill="1" applyBorder="1" applyAlignment="1">
      <alignment vertical="center"/>
    </xf>
    <xf numFmtId="3" fontId="44" fillId="11" borderId="53" xfId="0" applyNumberFormat="1" applyFont="1" applyFill="1" applyBorder="1" applyAlignment="1">
      <alignment vertical="center"/>
    </xf>
    <xf numFmtId="3" fontId="44" fillId="11" borderId="52" xfId="0" applyNumberFormat="1" applyFont="1" applyFill="1" applyBorder="1"/>
    <xf numFmtId="0" fontId="0" fillId="6" borderId="77" xfId="0" applyFill="1" applyBorder="1"/>
    <xf numFmtId="3" fontId="37" fillId="6" borderId="78" xfId="0" applyNumberFormat="1" applyFont="1" applyFill="1" applyBorder="1"/>
    <xf numFmtId="0" fontId="0" fillId="6" borderId="79" xfId="0" applyFill="1" applyBorder="1"/>
    <xf numFmtId="0" fontId="0" fillId="6" borderId="80" xfId="0" applyFill="1" applyBorder="1"/>
    <xf numFmtId="3" fontId="0" fillId="6" borderId="82" xfId="0" applyNumberFormat="1" applyFill="1" applyBorder="1" applyAlignment="1">
      <alignment horizontal="center"/>
    </xf>
    <xf numFmtId="1" fontId="0" fillId="6" borderId="82" xfId="0" applyNumberFormat="1" applyFill="1" applyBorder="1" applyAlignment="1">
      <alignment horizontal="center"/>
    </xf>
    <xf numFmtId="3" fontId="0" fillId="6" borderId="81" xfId="0" applyNumberFormat="1" applyFill="1" applyBorder="1" applyAlignment="1">
      <alignment horizontal="center"/>
    </xf>
    <xf numFmtId="3" fontId="0" fillId="6" borderId="83" xfId="0" applyNumberFormat="1" applyFill="1" applyBorder="1" applyAlignment="1">
      <alignment horizontal="center"/>
    </xf>
    <xf numFmtId="1" fontId="0" fillId="6" borderId="81" xfId="0" applyNumberFormat="1" applyFill="1" applyBorder="1" applyAlignment="1">
      <alignment horizontal="center"/>
    </xf>
    <xf numFmtId="9" fontId="0" fillId="6" borderId="0" xfId="0" applyNumberFormat="1" applyFill="1" applyAlignment="1">
      <alignment horizontal="center"/>
    </xf>
    <xf numFmtId="0" fontId="0" fillId="16" borderId="3" xfId="0" applyFill="1" applyBorder="1"/>
    <xf numFmtId="0" fontId="0" fillId="16" borderId="0" xfId="0" applyFill="1" applyAlignment="1">
      <alignment horizontal="center"/>
    </xf>
    <xf numFmtId="164" fontId="0" fillId="6" borderId="83" xfId="0" applyNumberFormat="1" applyFill="1" applyBorder="1" applyAlignment="1">
      <alignment horizontal="center"/>
    </xf>
    <xf numFmtId="1" fontId="0" fillId="6" borderId="83" xfId="0" applyNumberFormat="1" applyFill="1" applyBorder="1" applyAlignment="1">
      <alignment horizontal="center"/>
    </xf>
    <xf numFmtId="165" fontId="0" fillId="6" borderId="81" xfId="0" applyNumberFormat="1" applyFill="1" applyBorder="1" applyAlignment="1">
      <alignment horizontal="center"/>
    </xf>
    <xf numFmtId="0" fontId="0" fillId="3" borderId="0" xfId="0" applyFill="1"/>
    <xf numFmtId="1" fontId="0" fillId="6" borderId="0" xfId="0" applyNumberFormat="1" applyFill="1" applyAlignment="1">
      <alignment horizontal="center"/>
    </xf>
    <xf numFmtId="0" fontId="0" fillId="2" borderId="3" xfId="0" applyFill="1" applyBorder="1"/>
    <xf numFmtId="9" fontId="0" fillId="2" borderId="81" xfId="0" applyNumberFormat="1" applyFill="1" applyBorder="1" applyAlignment="1">
      <alignment horizontal="center"/>
    </xf>
    <xf numFmtId="0" fontId="0" fillId="2" borderId="82" xfId="0" applyFill="1" applyBorder="1"/>
    <xf numFmtId="9" fontId="0" fillId="2" borderId="82" xfId="0" applyNumberFormat="1" applyFill="1" applyBorder="1"/>
    <xf numFmtId="0" fontId="0" fillId="2" borderId="81" xfId="0" applyFill="1" applyBorder="1"/>
    <xf numFmtId="9" fontId="0" fillId="2" borderId="81" xfId="0" applyNumberFormat="1" applyFill="1" applyBorder="1"/>
    <xf numFmtId="9" fontId="0" fillId="6" borderId="83" xfId="0" applyNumberFormat="1" applyFill="1" applyBorder="1" applyAlignment="1">
      <alignment horizontal="center"/>
    </xf>
    <xf numFmtId="0" fontId="0" fillId="2" borderId="84" xfId="0" applyFill="1" applyBorder="1"/>
    <xf numFmtId="0" fontId="0" fillId="6" borderId="1" xfId="0" applyFill="1" applyBorder="1"/>
    <xf numFmtId="0" fontId="0" fillId="6" borderId="2" xfId="0" applyFill="1" applyBorder="1"/>
    <xf numFmtId="0" fontId="8" fillId="6" borderId="0" xfId="0" applyFont="1" applyFill="1"/>
    <xf numFmtId="0" fontId="0" fillId="0" borderId="0" xfId="0" applyAlignment="1">
      <alignment horizontal="right"/>
    </xf>
    <xf numFmtId="0" fontId="0" fillId="0" borderId="8" xfId="0" applyBorder="1"/>
    <xf numFmtId="0" fontId="0" fillId="0" borderId="3" xfId="0" applyBorder="1" applyAlignment="1">
      <alignment horizontal="left"/>
    </xf>
    <xf numFmtId="0" fontId="45" fillId="0" borderId="0" xfId="3" quotePrefix="1" applyFill="1"/>
    <xf numFmtId="0" fontId="45" fillId="6" borderId="0" xfId="3" applyFill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81" xfId="0" applyBorder="1" applyAlignment="1">
      <alignment horizontal="right"/>
    </xf>
    <xf numFmtId="0" fontId="0" fillId="0" borderId="81" xfId="0" applyBorder="1"/>
    <xf numFmtId="0" fontId="0" fillId="0" borderId="83" xfId="0" applyBorder="1" applyAlignment="1">
      <alignment horizontal="right"/>
    </xf>
    <xf numFmtId="0" fontId="38" fillId="0" borderId="0" xfId="0" applyFont="1" applyAlignment="1">
      <alignment horizontal="left" indent="1"/>
    </xf>
    <xf numFmtId="0" fontId="38" fillId="0" borderId="0" xfId="0" applyFont="1"/>
    <xf numFmtId="3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 indent="3"/>
    </xf>
    <xf numFmtId="3" fontId="38" fillId="6" borderId="0" xfId="0" applyNumberFormat="1" applyFont="1" applyFill="1" applyAlignment="1">
      <alignment horizontal="center"/>
    </xf>
    <xf numFmtId="0" fontId="46" fillId="6" borderId="0" xfId="0" applyFont="1" applyFill="1"/>
    <xf numFmtId="0" fontId="38" fillId="6" borderId="0" xfId="0" applyFont="1" applyFill="1" applyAlignment="1">
      <alignment horizontal="center"/>
    </xf>
    <xf numFmtId="0" fontId="38" fillId="6" borderId="0" xfId="0" applyFont="1" applyFill="1" applyAlignment="1">
      <alignment horizontal="left" indent="1"/>
    </xf>
    <xf numFmtId="0" fontId="38" fillId="6" borderId="0" xfId="0" applyFont="1" applyFill="1" applyAlignment="1">
      <alignment horizontal="left" indent="3"/>
    </xf>
    <xf numFmtId="0" fontId="46" fillId="6" borderId="0" xfId="0" applyFont="1" applyFill="1" applyAlignment="1">
      <alignment horizontal="left"/>
    </xf>
    <xf numFmtId="0" fontId="38" fillId="2" borderId="0" xfId="0" applyFont="1" applyFill="1" applyAlignment="1">
      <alignment horizontal="left" indent="1"/>
    </xf>
    <xf numFmtId="0" fontId="38" fillId="2" borderId="0" xfId="0" applyFont="1" applyFill="1"/>
    <xf numFmtId="3" fontId="38" fillId="2" borderId="0" xfId="0" applyNumberFormat="1" applyFont="1" applyFill="1" applyAlignment="1">
      <alignment horizontal="center"/>
    </xf>
    <xf numFmtId="0" fontId="38" fillId="6" borderId="7" xfId="0" applyFont="1" applyFill="1" applyBorder="1"/>
    <xf numFmtId="3" fontId="38" fillId="6" borderId="7" xfId="0" applyNumberFormat="1" applyFont="1" applyFill="1" applyBorder="1" applyAlignment="1">
      <alignment horizontal="center"/>
    </xf>
    <xf numFmtId="3" fontId="38" fillId="6" borderId="55" xfId="0" applyNumberFormat="1" applyFont="1" applyFill="1" applyBorder="1" applyAlignment="1">
      <alignment horizontal="center"/>
    </xf>
    <xf numFmtId="4" fontId="38" fillId="6" borderId="0" xfId="0" applyNumberFormat="1" applyFont="1" applyFill="1"/>
    <xf numFmtId="3" fontId="38" fillId="2" borderId="0" xfId="0" applyNumberFormat="1" applyFont="1" applyFill="1"/>
    <xf numFmtId="3" fontId="38" fillId="6" borderId="7" xfId="0" applyNumberFormat="1" applyFont="1" applyFill="1" applyBorder="1"/>
    <xf numFmtId="1" fontId="38" fillId="2" borderId="0" xfId="0" applyNumberFormat="1" applyFont="1" applyFill="1"/>
    <xf numFmtId="3" fontId="38" fillId="6" borderId="55" xfId="0" applyNumberFormat="1" applyFont="1" applyFill="1" applyBorder="1"/>
    <xf numFmtId="4" fontId="38" fillId="0" borderId="0" xfId="0" applyNumberFormat="1" applyFont="1"/>
    <xf numFmtId="3" fontId="38" fillId="0" borderId="55" xfId="0" applyNumberFormat="1" applyFont="1" applyBorder="1"/>
    <xf numFmtId="3" fontId="38" fillId="6" borderId="0" xfId="0" applyNumberFormat="1" applyFont="1" applyFill="1" applyAlignment="1">
      <alignment horizontal="right"/>
    </xf>
    <xf numFmtId="0" fontId="38" fillId="6" borderId="0" xfId="0" applyFont="1" applyFill="1" applyAlignment="1">
      <alignment vertical="center"/>
    </xf>
    <xf numFmtId="3" fontId="38" fillId="6" borderId="0" xfId="0" applyNumberFormat="1" applyFont="1" applyFill="1" applyAlignment="1">
      <alignment vertical="center"/>
    </xf>
    <xf numFmtId="0" fontId="8" fillId="6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3" fontId="2" fillId="3" borderId="83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39" fillId="21" borderId="0" xfId="0" applyFont="1" applyFill="1" applyAlignment="1">
      <alignment horizontal="center"/>
    </xf>
    <xf numFmtId="0" fontId="0" fillId="0" borderId="81" xfId="0" applyBorder="1" applyAlignment="1">
      <alignment horizontal="right"/>
    </xf>
    <xf numFmtId="0" fontId="2" fillId="0" borderId="0" xfId="0" applyFont="1" applyAlignment="1">
      <alignment horizontal="center"/>
    </xf>
    <xf numFmtId="0" fontId="0" fillId="6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57" xfId="0" applyNumberFormat="1" applyBorder="1" applyAlignment="1">
      <alignment horizontal="center"/>
    </xf>
    <xf numFmtId="0" fontId="0" fillId="0" borderId="57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39" fillId="21" borderId="9" xfId="0" applyFont="1" applyFill="1" applyBorder="1" applyAlignment="1">
      <alignment horizontal="center"/>
    </xf>
    <xf numFmtId="0" fontId="39" fillId="21" borderId="11" xfId="0" applyFont="1" applyFill="1" applyBorder="1" applyAlignment="1">
      <alignment horizontal="center"/>
    </xf>
    <xf numFmtId="0" fontId="39" fillId="21" borderId="10" xfId="0" applyFont="1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39" fillId="16" borderId="0" xfId="0" applyFont="1" applyFill="1" applyAlignment="1">
      <alignment horizontal="center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9" fontId="0" fillId="6" borderId="26" xfId="1" applyFont="1" applyFill="1" applyBorder="1" applyAlignment="1">
      <alignment horizontal="center"/>
    </xf>
    <xf numFmtId="0" fontId="39" fillId="21" borderId="58" xfId="0" applyFont="1" applyFill="1" applyBorder="1" applyAlignment="1">
      <alignment horizontal="center"/>
    </xf>
    <xf numFmtId="1" fontId="0" fillId="6" borderId="26" xfId="1" applyNumberFormat="1" applyFont="1" applyFill="1" applyBorder="1" applyAlignment="1">
      <alignment horizontal="center"/>
    </xf>
    <xf numFmtId="0" fontId="2" fillId="26" borderId="58" xfId="0" applyFont="1" applyFill="1" applyBorder="1" applyAlignment="1">
      <alignment horizontal="center"/>
    </xf>
    <xf numFmtId="3" fontId="0" fillId="6" borderId="26" xfId="1" applyNumberFormat="1" applyFont="1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14" fillId="8" borderId="27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14" fillId="8" borderId="29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14" fillId="8" borderId="30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9" fontId="16" fillId="0" borderId="35" xfId="1" applyFont="1" applyBorder="1" applyAlignment="1">
      <alignment horizontal="center" vertical="center"/>
    </xf>
    <xf numFmtId="9" fontId="16" fillId="0" borderId="37" xfId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right"/>
    </xf>
    <xf numFmtId="0" fontId="13" fillId="3" borderId="16" xfId="0" applyFont="1" applyFill="1" applyBorder="1" applyAlignment="1">
      <alignment horizontal="right"/>
    </xf>
    <xf numFmtId="0" fontId="14" fillId="2" borderId="0" xfId="0" applyFont="1" applyFill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7" fillId="21" borderId="25" xfId="0" applyFont="1" applyFill="1" applyBorder="1" applyAlignment="1">
      <alignment horizontal="center" vertical="center" wrapText="1"/>
    </xf>
    <xf numFmtId="0" fontId="27" fillId="3" borderId="46" xfId="0" applyFont="1" applyFill="1" applyBorder="1" applyAlignment="1">
      <alignment horizontal="left" vertical="center"/>
    </xf>
    <xf numFmtId="0" fontId="27" fillId="3" borderId="48" xfId="0" applyFont="1" applyFill="1" applyBorder="1" applyAlignment="1">
      <alignment horizontal="left" vertical="center"/>
    </xf>
    <xf numFmtId="0" fontId="29" fillId="6" borderId="0" xfId="0" applyFont="1" applyFill="1" applyAlignment="1">
      <alignment horizontal="center" vertical="center"/>
    </xf>
    <xf numFmtId="0" fontId="27" fillId="3" borderId="47" xfId="0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left" vertical="center"/>
    </xf>
    <xf numFmtId="0" fontId="33" fillId="6" borderId="0" xfId="0" applyFont="1" applyFill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>
          <fgColor rgb="FF000000"/>
          <bgColor rgb="FFFFFFFF"/>
        </patternFill>
      </fill>
      <alignment horizontal="righ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24997711111789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Summary'!$F$44:$J$44</c:f>
              <c:numCache>
                <c:formatCode>#,##0</c:formatCode>
                <c:ptCount val="5"/>
                <c:pt idx="0">
                  <c:v>4830841</c:v>
                </c:pt>
                <c:pt idx="1">
                  <c:v>6860174.7340000002</c:v>
                </c:pt>
                <c:pt idx="2">
                  <c:v>7601190</c:v>
                </c:pt>
                <c:pt idx="3">
                  <c:v>11288870</c:v>
                </c:pt>
                <c:pt idx="4">
                  <c:v>12737175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913-8C7A-B5C7CDF8208D}"/>
            </c:ext>
          </c:extLst>
        </c:ser>
        <c:ser>
          <c:idx val="1"/>
          <c:order val="1"/>
          <c:tx>
            <c:strRef>
              <c:f>'2024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Summary'!$F$53:$J$53</c:f>
              <c:numCache>
                <c:formatCode>#,##0</c:formatCode>
                <c:ptCount val="5"/>
                <c:pt idx="0">
                  <c:v>4579741</c:v>
                </c:pt>
                <c:pt idx="1">
                  <c:v>6609074.7340000002</c:v>
                </c:pt>
                <c:pt idx="2">
                  <c:v>7578090</c:v>
                </c:pt>
                <c:pt idx="3">
                  <c:v>7578090</c:v>
                </c:pt>
                <c:pt idx="4">
                  <c:v>11855325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4-4913-8C7A-B5C7CDF82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'2024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 Sales Summary'!$F$54:$J$54</c:f>
              <c:numCache>
                <c:formatCode>0%</c:formatCode>
                <c:ptCount val="5"/>
                <c:pt idx="0">
                  <c:v>0.94802147286569771</c:v>
                </c:pt>
                <c:pt idx="1">
                  <c:v>0.94802147286569771</c:v>
                </c:pt>
                <c:pt idx="2">
                  <c:v>0.94802147286569771</c:v>
                </c:pt>
                <c:pt idx="3">
                  <c:v>0.67128862321915306</c:v>
                </c:pt>
                <c:pt idx="4">
                  <c:v>0.93076565250928878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64-4913-8C7A-B5C7CDF82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'2025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Summary'!$G$44:$K$44</c:f>
              <c:numCache>
                <c:formatCode>#,##0</c:formatCode>
                <c:ptCount val="5"/>
                <c:pt idx="0">
                  <c:v>4830841</c:v>
                </c:pt>
                <c:pt idx="1">
                  <c:v>6860174.7340000002</c:v>
                </c:pt>
                <c:pt idx="2">
                  <c:v>7601190</c:v>
                </c:pt>
                <c:pt idx="3">
                  <c:v>11288870</c:v>
                </c:pt>
                <c:pt idx="4">
                  <c:v>12737175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B-46EC-9A0E-7412F4D7923D}"/>
            </c:ext>
          </c:extLst>
        </c:ser>
        <c:ser>
          <c:idx val="1"/>
          <c:order val="1"/>
          <c:tx>
            <c:strRef>
              <c:f>'2025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'2025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Summary'!$G$53:$K$53</c:f>
              <c:numCache>
                <c:formatCode>#,##0</c:formatCode>
                <c:ptCount val="5"/>
                <c:pt idx="0">
                  <c:v>4579741</c:v>
                </c:pt>
                <c:pt idx="1">
                  <c:v>6609074.7340000002</c:v>
                </c:pt>
                <c:pt idx="2">
                  <c:v>7578090</c:v>
                </c:pt>
                <c:pt idx="3">
                  <c:v>7578090</c:v>
                </c:pt>
                <c:pt idx="4">
                  <c:v>11855325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B-46EC-9A0E-7412F4D79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'2025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 Sales Summary'!$G$54:$K$54</c:f>
              <c:numCache>
                <c:formatCode>0%</c:formatCode>
                <c:ptCount val="5"/>
                <c:pt idx="0">
                  <c:v>0.94802147286569771</c:v>
                </c:pt>
                <c:pt idx="1">
                  <c:v>0.94802147286569771</c:v>
                </c:pt>
                <c:pt idx="2">
                  <c:v>0.94802147286569771</c:v>
                </c:pt>
                <c:pt idx="3">
                  <c:v>0.67128862321915306</c:v>
                </c:pt>
                <c:pt idx="4">
                  <c:v>0.93076565250928878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B-46EC-9A0E-7412F4D79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'2025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Summary'!$G$51:$K$51</c:f>
              <c:numCache>
                <c:formatCode>#,##0</c:formatCode>
                <c:ptCount val="5"/>
                <c:pt idx="0">
                  <c:v>75.841717829255813</c:v>
                </c:pt>
                <c:pt idx="1">
                  <c:v>75.841717829255813</c:v>
                </c:pt>
                <c:pt idx="2">
                  <c:v>75.841717829255813</c:v>
                </c:pt>
                <c:pt idx="3">
                  <c:v>74.168769770579345</c:v>
                </c:pt>
                <c:pt idx="4">
                  <c:v>74.461252200743104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7-4934-B0DB-C28385DDB547}"/>
            </c:ext>
          </c:extLst>
        </c:ser>
        <c:ser>
          <c:idx val="1"/>
          <c:order val="1"/>
          <c:tx>
            <c:strRef>
              <c:f>'2025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'2025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Summary'!$G$58:$K$58</c:f>
              <c:numCache>
                <c:formatCode>#,##0</c:formatCode>
                <c:ptCount val="5"/>
                <c:pt idx="0">
                  <c:v>4579741</c:v>
                </c:pt>
                <c:pt idx="1">
                  <c:v>6609074.7340000002</c:v>
                </c:pt>
                <c:pt idx="2">
                  <c:v>7578090</c:v>
                </c:pt>
                <c:pt idx="3">
                  <c:v>10466020</c:v>
                </c:pt>
                <c:pt idx="4">
                  <c:v>11855325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7-4934-B0DB-C28385DD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'2025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 Sales Summary'!$G$63:$K$63</c:f>
              <c:numCache>
                <c:formatCode>#,##0</c:formatCode>
                <c:ptCount val="5"/>
                <c:pt idx="0">
                  <c:v>3958500.8</c:v>
                </c:pt>
                <c:pt idx="1">
                  <c:v>5579235.7871999992</c:v>
                </c:pt>
                <c:pt idx="2">
                  <c:v>6849797</c:v>
                </c:pt>
                <c:pt idx="3">
                  <c:v>9466431</c:v>
                </c:pt>
                <c:pt idx="4">
                  <c:v>10577630.000000002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A7-4934-B0DB-C28385DD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'2025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'2025 Sales Summary'!$G$60:$K$60</c:f>
              <c:numCache>
                <c:formatCode>#,##0</c:formatCode>
                <c:ptCount val="5"/>
                <c:pt idx="0">
                  <c:v>3663792.8</c:v>
                </c:pt>
                <c:pt idx="1">
                  <c:v>5287259.7871999992</c:v>
                </c:pt>
                <c:pt idx="2">
                  <c:v>6062472</c:v>
                </c:pt>
                <c:pt idx="3">
                  <c:v>8372816.0000000009</c:v>
                </c:pt>
                <c:pt idx="4">
                  <c:v>9484260.0000000019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2-41FD-A6FF-EE92C02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'2025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'2025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Summary'!$G$62:$K$62</c:f>
              <c:numCache>
                <c:formatCode>#,##0</c:formatCode>
                <c:ptCount val="5"/>
                <c:pt idx="0">
                  <c:v>3783324.8</c:v>
                </c:pt>
                <c:pt idx="1">
                  <c:v>5404059.7871999992</c:v>
                </c:pt>
                <c:pt idx="2">
                  <c:v>6182621</c:v>
                </c:pt>
                <c:pt idx="3">
                  <c:v>8493353</c:v>
                </c:pt>
                <c:pt idx="4">
                  <c:v>9604552.0000000019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2-41FD-A6FF-EE92C02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2025'!$E$45:$I$45</c:f>
              <c:numCache>
                <c:formatCode>#,##0</c:formatCode>
                <c:ptCount val="5"/>
                <c:pt idx="0">
                  <c:v>449900</c:v>
                </c:pt>
                <c:pt idx="1">
                  <c:v>586218.73300000001</c:v>
                </c:pt>
                <c:pt idx="2">
                  <c:v>661710</c:v>
                </c:pt>
                <c:pt idx="3">
                  <c:v>994995</c:v>
                </c:pt>
                <c:pt idx="4">
                  <c:v>1118310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2A-4F2A-9271-472F962DB847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2025'!$E$57:$I$57</c:f>
              <c:numCache>
                <c:formatCode>#,##0</c:formatCode>
                <c:ptCount val="5"/>
                <c:pt idx="0">
                  <c:v>428975</c:v>
                </c:pt>
                <c:pt idx="1">
                  <c:v>565293.73300000001</c:v>
                </c:pt>
                <c:pt idx="2">
                  <c:v>659785</c:v>
                </c:pt>
                <c:pt idx="3">
                  <c:v>936722</c:v>
                </c:pt>
                <c:pt idx="4">
                  <c:v>1054137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A-4F2A-9271-472F962DB847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2025'!$E$64:$I$64</c:f>
              <c:numCache>
                <c:formatCode>#,##0</c:formatCode>
                <c:ptCount val="5"/>
                <c:pt idx="0">
                  <c:v>343180</c:v>
                </c:pt>
                <c:pt idx="1">
                  <c:v>452234.98639999999</c:v>
                </c:pt>
                <c:pt idx="2">
                  <c:v>527828</c:v>
                </c:pt>
                <c:pt idx="3">
                  <c:v>749377.6</c:v>
                </c:pt>
                <c:pt idx="4">
                  <c:v>843309.6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2A-4F2A-9271-472F962D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2025'!$K$45:$V$45</c:f>
              <c:numCache>
                <c:formatCode>#,##0</c:formatCode>
                <c:ptCount val="12"/>
                <c:pt idx="0">
                  <c:v>546073.22800000012</c:v>
                </c:pt>
                <c:pt idx="1">
                  <c:v>553703.89199999999</c:v>
                </c:pt>
                <c:pt idx="2">
                  <c:v>559369.55599999998</c:v>
                </c:pt>
                <c:pt idx="3">
                  <c:v>564920.22</c:v>
                </c:pt>
                <c:pt idx="4">
                  <c:v>562607.38800000004</c:v>
                </c:pt>
                <c:pt idx="5">
                  <c:v>566182.17799999996</c:v>
                </c:pt>
                <c:pt idx="6">
                  <c:v>578025.46400000004</c:v>
                </c:pt>
                <c:pt idx="7">
                  <c:v>575181.75799999991</c:v>
                </c:pt>
                <c:pt idx="8">
                  <c:v>591486.79200000002</c:v>
                </c:pt>
                <c:pt idx="9">
                  <c:v>593524.18699999992</c:v>
                </c:pt>
                <c:pt idx="10">
                  <c:v>582881.33799999999</c:v>
                </c:pt>
                <c:pt idx="11">
                  <c:v>586218.73300000001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7-4A6D-B199-78FC8EF8617B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2025'!$K$57:$V$57</c:f>
              <c:numCache>
                <c:formatCode>#,##0</c:formatCode>
                <c:ptCount val="12"/>
                <c:pt idx="0">
                  <c:v>525148.22800000012</c:v>
                </c:pt>
                <c:pt idx="1">
                  <c:v>532778.89199999999</c:v>
                </c:pt>
                <c:pt idx="2">
                  <c:v>538444.55599999998</c:v>
                </c:pt>
                <c:pt idx="3">
                  <c:v>543995.22</c:v>
                </c:pt>
                <c:pt idx="4">
                  <c:v>541682.38800000004</c:v>
                </c:pt>
                <c:pt idx="5">
                  <c:v>545257.17799999996</c:v>
                </c:pt>
                <c:pt idx="6">
                  <c:v>557100.46400000004</c:v>
                </c:pt>
                <c:pt idx="7">
                  <c:v>554256.75799999991</c:v>
                </c:pt>
                <c:pt idx="8">
                  <c:v>570561.79200000002</c:v>
                </c:pt>
                <c:pt idx="9">
                  <c:v>572599.18699999992</c:v>
                </c:pt>
                <c:pt idx="10">
                  <c:v>561956.33799999999</c:v>
                </c:pt>
                <c:pt idx="11">
                  <c:v>565293.73300000001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7-4A6D-B199-78FC8EF8617B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2025'!$K$64:$V$64</c:f>
              <c:numCache>
                <c:formatCode>#,##0</c:formatCode>
                <c:ptCount val="12"/>
                <c:pt idx="0">
                  <c:v>420118.58240000007</c:v>
                </c:pt>
                <c:pt idx="1">
                  <c:v>426223.11359999998</c:v>
                </c:pt>
                <c:pt idx="2">
                  <c:v>430755.64480000001</c:v>
                </c:pt>
                <c:pt idx="3">
                  <c:v>435196.17599999998</c:v>
                </c:pt>
                <c:pt idx="4">
                  <c:v>433345.91040000005</c:v>
                </c:pt>
                <c:pt idx="5">
                  <c:v>436205.74239999999</c:v>
                </c:pt>
                <c:pt idx="6">
                  <c:v>445680.37120000005</c:v>
                </c:pt>
                <c:pt idx="7">
                  <c:v>443405.40639999992</c:v>
                </c:pt>
                <c:pt idx="8">
                  <c:v>456449.43359999999</c:v>
                </c:pt>
                <c:pt idx="9">
                  <c:v>458079.34959999996</c:v>
                </c:pt>
                <c:pt idx="10">
                  <c:v>449565.07039999997</c:v>
                </c:pt>
                <c:pt idx="11">
                  <c:v>452234.98639999999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7-4A6D-B199-78FC8EF86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2024'!$E$8:$I$8</c:f>
              <c:numCache>
                <c:formatCode>#,##0</c:formatCode>
                <c:ptCount val="5"/>
                <c:pt idx="0">
                  <c:v>290479.59999999998</c:v>
                </c:pt>
                <c:pt idx="1">
                  <c:v>439897.78639999998</c:v>
                </c:pt>
                <c:pt idx="2">
                  <c:v>529128</c:v>
                </c:pt>
                <c:pt idx="3">
                  <c:v>807025.6</c:v>
                </c:pt>
                <c:pt idx="4">
                  <c:v>906857.6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2-4A03-952F-673C721080F4}"/>
            </c:ext>
          </c:extLst>
        </c:ser>
        <c:ser>
          <c:idx val="1"/>
          <c:order val="1"/>
          <c:tx>
            <c:strRef>
              <c:f>'Statements Summary 2024'!$B$11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2-4A03-952F-673C721080F4}"/>
            </c:ext>
          </c:extLst>
        </c:ser>
        <c:ser>
          <c:idx val="2"/>
          <c:order val="2"/>
          <c:tx>
            <c:strRef>
              <c:f>'Statements Summary 2024'!$B$15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2024'!$B$16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2024'!$E$16:$I$16</c:f>
              <c:numCache>
                <c:formatCode>#,##0</c:formatCode>
                <c:ptCount val="5"/>
                <c:pt idx="0">
                  <c:v>290479.59999999998</c:v>
                </c:pt>
                <c:pt idx="1">
                  <c:v>439897.78639999998</c:v>
                </c:pt>
                <c:pt idx="2">
                  <c:v>529128</c:v>
                </c:pt>
                <c:pt idx="3">
                  <c:v>807025.6</c:v>
                </c:pt>
                <c:pt idx="4">
                  <c:v>906857.6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32-4A03-952F-673C721080F4}"/>
            </c:ext>
          </c:extLst>
        </c:ser>
        <c:ser>
          <c:idx val="4"/>
          <c:order val="4"/>
          <c:tx>
            <c:strRef>
              <c:f>'Statements Summary 2024'!$B$17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2024'!$E$17:$I$17</c:f>
              <c:numCache>
                <c:formatCode>#,##0</c:formatCode>
                <c:ptCount val="5"/>
                <c:pt idx="0">
                  <c:v>564141.19999999995</c:v>
                </c:pt>
                <c:pt idx="1">
                  <c:v>862977.57279999997</c:v>
                </c:pt>
                <c:pt idx="2">
                  <c:v>1058256</c:v>
                </c:pt>
                <c:pt idx="3">
                  <c:v>1614051.2000000002</c:v>
                </c:pt>
                <c:pt idx="4">
                  <c:v>1813715.2000000002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2025'!$K$8:$V$8</c:f>
              <c:numCache>
                <c:formatCode>#,##0</c:formatCode>
                <c:ptCount val="12"/>
                <c:pt idx="0">
                  <c:v>370781.78240000008</c:v>
                </c:pt>
                <c:pt idx="1">
                  <c:v>380249.91359999997</c:v>
                </c:pt>
                <c:pt idx="2">
                  <c:v>388146.04479999997</c:v>
                </c:pt>
                <c:pt idx="3">
                  <c:v>395950.17599999998</c:v>
                </c:pt>
                <c:pt idx="4">
                  <c:v>397463.51040000003</c:v>
                </c:pt>
                <c:pt idx="5">
                  <c:v>403686.94239999994</c:v>
                </c:pt>
                <c:pt idx="6">
                  <c:v>416525.17119999998</c:v>
                </c:pt>
                <c:pt idx="7">
                  <c:v>417613.80639999988</c:v>
                </c:pt>
                <c:pt idx="8">
                  <c:v>434021.43359999999</c:v>
                </c:pt>
                <c:pt idx="9">
                  <c:v>439014.94959999993</c:v>
                </c:pt>
                <c:pt idx="10">
                  <c:v>433864.27039999998</c:v>
                </c:pt>
                <c:pt idx="11">
                  <c:v>439897.78639999998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1-46A9-9663-4C44FC9624FC}"/>
            </c:ext>
          </c:extLst>
        </c:ser>
        <c:ser>
          <c:idx val="1"/>
          <c:order val="1"/>
          <c:tx>
            <c:strRef>
              <c:f>'Statements Summary 2025'!$B$11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1-46A9-9663-4C44FC9624FC}"/>
            </c:ext>
          </c:extLst>
        </c:ser>
        <c:ser>
          <c:idx val="2"/>
          <c:order val="2"/>
          <c:tx>
            <c:strRef>
              <c:f>'Statements Summary 2025'!$B$15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2025'!$B$16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2025'!$K$16:$V$16</c:f>
              <c:numCache>
                <c:formatCode>#,##0</c:formatCode>
                <c:ptCount val="12"/>
                <c:pt idx="0">
                  <c:v>370781.78240000008</c:v>
                </c:pt>
                <c:pt idx="1">
                  <c:v>380249.91359999997</c:v>
                </c:pt>
                <c:pt idx="2">
                  <c:v>388146.04479999997</c:v>
                </c:pt>
                <c:pt idx="3">
                  <c:v>395950.17599999998</c:v>
                </c:pt>
                <c:pt idx="4">
                  <c:v>397463.51040000003</c:v>
                </c:pt>
                <c:pt idx="5">
                  <c:v>403686.94239999994</c:v>
                </c:pt>
                <c:pt idx="6">
                  <c:v>416525.17119999998</c:v>
                </c:pt>
                <c:pt idx="7">
                  <c:v>417613.80639999988</c:v>
                </c:pt>
                <c:pt idx="8">
                  <c:v>434021.43359999999</c:v>
                </c:pt>
                <c:pt idx="9">
                  <c:v>439014.94959999993</c:v>
                </c:pt>
                <c:pt idx="10">
                  <c:v>433864.27039999998</c:v>
                </c:pt>
                <c:pt idx="11">
                  <c:v>439897.78639999998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E1-46A9-9663-4C44FC9624FC}"/>
            </c:ext>
          </c:extLst>
        </c:ser>
        <c:ser>
          <c:idx val="4"/>
          <c:order val="4"/>
          <c:tx>
            <c:strRef>
              <c:f>'Statements Summary 2025'!$B$17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2025'!$K$17:$V$17</c:f>
              <c:numCache>
                <c:formatCode>#,##0</c:formatCode>
                <c:ptCount val="12"/>
                <c:pt idx="0">
                  <c:v>724745.56480000028</c:v>
                </c:pt>
                <c:pt idx="1">
                  <c:v>743681.82719999994</c:v>
                </c:pt>
                <c:pt idx="2">
                  <c:v>759474.08959999983</c:v>
                </c:pt>
                <c:pt idx="3">
                  <c:v>775082.35199999996</c:v>
                </c:pt>
                <c:pt idx="4">
                  <c:v>778109.02080000006</c:v>
                </c:pt>
                <c:pt idx="5">
                  <c:v>790555.88479999988</c:v>
                </c:pt>
                <c:pt idx="6">
                  <c:v>816232.34239999996</c:v>
                </c:pt>
                <c:pt idx="7">
                  <c:v>818409.61279999977</c:v>
                </c:pt>
                <c:pt idx="8">
                  <c:v>851224.86719999998</c:v>
                </c:pt>
                <c:pt idx="9">
                  <c:v>861211.89919999987</c:v>
                </c:pt>
                <c:pt idx="10">
                  <c:v>850910.54080000008</c:v>
                </c:pt>
                <c:pt idx="11">
                  <c:v>862977.57279999997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2024'!$E$85:$I$85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2024'!$E$86:$I$86</c:f>
              <c:numCache>
                <c:formatCode>#,##0</c:formatCode>
                <c:ptCount val="5"/>
                <c:pt idx="0">
                  <c:v>2624392.4</c:v>
                </c:pt>
                <c:pt idx="1">
                  <c:v>7339792.1871999996</c:v>
                </c:pt>
                <c:pt idx="2">
                  <c:v>13149988.987199999</c:v>
                </c:pt>
                <c:pt idx="3">
                  <c:v>22338154.987199992</c:v>
                </c:pt>
                <c:pt idx="4">
                  <c:v>32696764.987199977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E-4D02-B4F4-134602C8C471}"/>
            </c:ext>
          </c:extLst>
        </c:ser>
        <c:ser>
          <c:idx val="2"/>
          <c:order val="2"/>
          <c:tx>
            <c:strRef>
              <c:f>'Statements Summary 2024'!$B$89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2024'!$E$85:$I$85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2024'!$E$89:$I$89</c:f>
              <c:numCache>
                <c:formatCode>#,##0</c:formatCode>
                <c:ptCount val="5"/>
                <c:pt idx="0">
                  <c:v>-85795</c:v>
                </c:pt>
                <c:pt idx="1">
                  <c:v>-113058.74660000001</c:v>
                </c:pt>
                <c:pt idx="2">
                  <c:v>-131957</c:v>
                </c:pt>
                <c:pt idx="3">
                  <c:v>-187344.40000000002</c:v>
                </c:pt>
                <c:pt idx="4">
                  <c:v>-210827.40000000002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2024'!$B$88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2024'!$E$88:$I$88</c:f>
              <c:numCache>
                <c:formatCode>#,##0</c:formatCode>
                <c:ptCount val="5"/>
                <c:pt idx="0">
                  <c:v>3094924.4</c:v>
                </c:pt>
                <c:pt idx="1">
                  <c:v>7828124.1871999996</c:v>
                </c:pt>
                <c:pt idx="2">
                  <c:v>13659469.987199999</c:v>
                </c:pt>
                <c:pt idx="3">
                  <c:v>22869172.987199992</c:v>
                </c:pt>
                <c:pt idx="4">
                  <c:v>33249164.987199977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BE-4D02-B4F4-134602C8C471}"/>
            </c:ext>
          </c:extLst>
        </c:ser>
        <c:ser>
          <c:idx val="3"/>
          <c:order val="3"/>
          <c:tx>
            <c:strRef>
              <c:f>'Statements Summary 2024'!$B$92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2024'!$E$92:$I$92</c:f>
              <c:numCache>
                <c:formatCode>#,##0</c:formatCode>
                <c:ptCount val="5"/>
                <c:pt idx="0">
                  <c:v>2644127.4</c:v>
                </c:pt>
                <c:pt idx="1">
                  <c:v>7551879.4405999994</c:v>
                </c:pt>
                <c:pt idx="2">
                  <c:v>13527512.987199999</c:v>
                </c:pt>
                <c:pt idx="3">
                  <c:v>22681828.587199993</c:v>
                </c:pt>
                <c:pt idx="4">
                  <c:v>33038337.587199979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E-4D02-B4F4-134602C8C471}"/>
            </c:ext>
          </c:extLst>
        </c:ser>
        <c:ser>
          <c:idx val="4"/>
          <c:order val="4"/>
          <c:tx>
            <c:strRef>
              <c:f>'Statements Summary 2024'!$B$93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2024'!$E$93:$I$93</c:f>
              <c:numCache>
                <c:formatCode>#,##0</c:formatCode>
                <c:ptCount val="5"/>
                <c:pt idx="0">
                  <c:v>2624392.4</c:v>
                </c:pt>
                <c:pt idx="1">
                  <c:v>7339792.1871999996</c:v>
                </c:pt>
                <c:pt idx="2">
                  <c:v>13149988.987199999</c:v>
                </c:pt>
                <c:pt idx="3">
                  <c:v>22338154.987199992</c:v>
                </c:pt>
                <c:pt idx="4">
                  <c:v>32696764.987199977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2025'!$K$87:$V$87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2025'!$K$88:$V$88</c:f>
              <c:numCache>
                <c:formatCode>#,##0</c:formatCode>
                <c:ptCount val="12"/>
                <c:pt idx="0">
                  <c:v>2978356.1823999998</c:v>
                </c:pt>
                <c:pt idx="1">
                  <c:v>3341788.0959999999</c:v>
                </c:pt>
                <c:pt idx="2">
                  <c:v>3713116.1408000002</c:v>
                </c:pt>
                <c:pt idx="3">
                  <c:v>4092248.3168000001</c:v>
                </c:pt>
                <c:pt idx="4">
                  <c:v>4472893.8272000002</c:v>
                </c:pt>
                <c:pt idx="5">
                  <c:v>4859762.7696000002</c:v>
                </c:pt>
                <c:pt idx="6">
                  <c:v>5259469.9408</c:v>
                </c:pt>
                <c:pt idx="7">
                  <c:v>5660265.7472000001</c:v>
                </c:pt>
                <c:pt idx="8">
                  <c:v>6077469.1808000002</c:v>
                </c:pt>
                <c:pt idx="9">
                  <c:v>6499666.1304000001</c:v>
                </c:pt>
                <c:pt idx="10">
                  <c:v>6916712.4007999999</c:v>
                </c:pt>
                <c:pt idx="11">
                  <c:v>7339792.1871999996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1-4C48-B4EE-F56C24335B42}"/>
            </c:ext>
          </c:extLst>
        </c:ser>
        <c:ser>
          <c:idx val="2"/>
          <c:order val="2"/>
          <c:tx>
            <c:strRef>
              <c:f>'Statements Summary 2025'!$B$91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2025'!$K$87:$V$87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2025'!$K$91:$V$91</c:f>
              <c:numCache>
                <c:formatCode>#,##0</c:formatCode>
                <c:ptCount val="12"/>
                <c:pt idx="1">
                  <c:v>-106555.77840000001</c:v>
                </c:pt>
                <c:pt idx="2">
                  <c:v>-107688.9112</c:v>
                </c:pt>
                <c:pt idx="3">
                  <c:v>-108799.04399999999</c:v>
                </c:pt>
                <c:pt idx="4">
                  <c:v>-108336.47760000001</c:v>
                </c:pt>
                <c:pt idx="5">
                  <c:v>-109051.4356</c:v>
                </c:pt>
                <c:pt idx="6">
                  <c:v>-111420.09280000001</c:v>
                </c:pt>
                <c:pt idx="7">
                  <c:v>-110851.35159999999</c:v>
                </c:pt>
                <c:pt idx="8">
                  <c:v>-114112.35840000001</c:v>
                </c:pt>
                <c:pt idx="9">
                  <c:v>-114519.83739999999</c:v>
                </c:pt>
                <c:pt idx="10">
                  <c:v>-112391.26760000001</c:v>
                </c:pt>
                <c:pt idx="11">
                  <c:v>-113058.74660000001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2025'!$B$90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2025'!$K$90:$V$90</c:f>
              <c:numCache>
                <c:formatCode>#,##0</c:formatCode>
                <c:ptCount val="12"/>
                <c:pt idx="0">
                  <c:v>3450338.1823999998</c:v>
                </c:pt>
                <c:pt idx="1">
                  <c:v>3815220.0959999999</c:v>
                </c:pt>
                <c:pt idx="2">
                  <c:v>4187998.1408000002</c:v>
                </c:pt>
                <c:pt idx="3">
                  <c:v>4568580.3168000001</c:v>
                </c:pt>
                <c:pt idx="4">
                  <c:v>4950675.8272000002</c:v>
                </c:pt>
                <c:pt idx="5">
                  <c:v>5338994.7696000002</c:v>
                </c:pt>
                <c:pt idx="6">
                  <c:v>5740151.9408</c:v>
                </c:pt>
                <c:pt idx="7">
                  <c:v>6142397.7472000001</c:v>
                </c:pt>
                <c:pt idx="8">
                  <c:v>6561051.1808000002</c:v>
                </c:pt>
                <c:pt idx="9">
                  <c:v>6984698.1304000001</c:v>
                </c:pt>
                <c:pt idx="10">
                  <c:v>7403194.4007999999</c:v>
                </c:pt>
                <c:pt idx="11">
                  <c:v>7828124.1871999996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1-4C48-B4EE-F56C24335B42}"/>
            </c:ext>
          </c:extLst>
        </c:ser>
        <c:ser>
          <c:idx val="3"/>
          <c:order val="3"/>
          <c:tx>
            <c:strRef>
              <c:f>'Statements Summary 2025'!$B$94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2025'!$K$94:$V$94</c:f>
              <c:numCache>
                <c:formatCode>#,##0</c:formatCode>
                <c:ptCount val="12"/>
                <c:pt idx="0">
                  <c:v>2997124.5367999999</c:v>
                </c:pt>
                <c:pt idx="1">
                  <c:v>3377298.3175999997</c:v>
                </c:pt>
                <c:pt idx="2">
                  <c:v>3765761.2296000002</c:v>
                </c:pt>
                <c:pt idx="3">
                  <c:v>4162051.2728000004</c:v>
                </c:pt>
                <c:pt idx="4">
                  <c:v>4561427.3496000003</c:v>
                </c:pt>
                <c:pt idx="5">
                  <c:v>4965849.3340000007</c:v>
                </c:pt>
                <c:pt idx="6">
                  <c:v>5381455.8480000002</c:v>
                </c:pt>
                <c:pt idx="7">
                  <c:v>5801088.3956000004</c:v>
                </c:pt>
                <c:pt idx="8">
                  <c:v>6233298.8223999999</c:v>
                </c:pt>
                <c:pt idx="9">
                  <c:v>6673356.2930000005</c:v>
                </c:pt>
                <c:pt idx="10">
                  <c:v>7110799.1332</c:v>
                </c:pt>
                <c:pt idx="11">
                  <c:v>7551879.4405999994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1-4C48-B4EE-F56C24335B42}"/>
            </c:ext>
          </c:extLst>
        </c:ser>
        <c:ser>
          <c:idx val="4"/>
          <c:order val="4"/>
          <c:tx>
            <c:strRef>
              <c:f>'Statements Summary 2025'!$B$95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2025'!$K$95:$V$95</c:f>
              <c:numCache>
                <c:formatCode>#,##0</c:formatCode>
                <c:ptCount val="12"/>
                <c:pt idx="0">
                  <c:v>2978356.1823999998</c:v>
                </c:pt>
                <c:pt idx="1">
                  <c:v>3341788.0959999999</c:v>
                </c:pt>
                <c:pt idx="2">
                  <c:v>3713116.1408000002</c:v>
                </c:pt>
                <c:pt idx="3">
                  <c:v>4092248.3168000001</c:v>
                </c:pt>
                <c:pt idx="4">
                  <c:v>4472893.8272000002</c:v>
                </c:pt>
                <c:pt idx="5">
                  <c:v>4859762.7696000002</c:v>
                </c:pt>
                <c:pt idx="6">
                  <c:v>5259469.9408</c:v>
                </c:pt>
                <c:pt idx="7">
                  <c:v>5660265.7472000001</c:v>
                </c:pt>
                <c:pt idx="8">
                  <c:v>6077469.1808000002</c:v>
                </c:pt>
                <c:pt idx="9">
                  <c:v>6499666.1304000001</c:v>
                </c:pt>
                <c:pt idx="10">
                  <c:v>6916712.4007999999</c:v>
                </c:pt>
                <c:pt idx="11">
                  <c:v>7339792.1871999996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'2026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Summary'!$F$44:$J$44</c:f>
              <c:numCache>
                <c:formatCode>#,##0</c:formatCode>
                <c:ptCount val="5"/>
                <c:pt idx="0">
                  <c:v>4830841</c:v>
                </c:pt>
                <c:pt idx="1">
                  <c:v>6860174.7340000002</c:v>
                </c:pt>
                <c:pt idx="2">
                  <c:v>7601190</c:v>
                </c:pt>
                <c:pt idx="3">
                  <c:v>11288870</c:v>
                </c:pt>
                <c:pt idx="4">
                  <c:v>12737175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3-4191-944E-CB45C0A38005}"/>
            </c:ext>
          </c:extLst>
        </c:ser>
        <c:ser>
          <c:idx val="1"/>
          <c:order val="1"/>
          <c:tx>
            <c:strRef>
              <c:f>'2026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Summary'!$F$53:$J$53</c:f>
              <c:numCache>
                <c:formatCode>#,##0</c:formatCode>
                <c:ptCount val="5"/>
                <c:pt idx="0">
                  <c:v>4579741</c:v>
                </c:pt>
                <c:pt idx="1">
                  <c:v>6609074.7340000002</c:v>
                </c:pt>
                <c:pt idx="2">
                  <c:v>7578090</c:v>
                </c:pt>
                <c:pt idx="3">
                  <c:v>7578090</c:v>
                </c:pt>
                <c:pt idx="4">
                  <c:v>11855325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3-4191-944E-CB45C0A3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'2026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'2026 Sales Summary'!$F$54:$J$54</c:f>
              <c:numCache>
                <c:formatCode>0%</c:formatCode>
                <c:ptCount val="5"/>
                <c:pt idx="0">
                  <c:v>0.94802147286569771</c:v>
                </c:pt>
                <c:pt idx="1">
                  <c:v>0.94802147286569771</c:v>
                </c:pt>
                <c:pt idx="2">
                  <c:v>0.94802147286569771</c:v>
                </c:pt>
                <c:pt idx="3">
                  <c:v>0.67128862321915306</c:v>
                </c:pt>
                <c:pt idx="4">
                  <c:v>0.93076565250928878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A3-4191-944E-CB45C0A3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Summary'!$F$51:$J$51</c:f>
              <c:numCache>
                <c:formatCode>#,##0</c:formatCode>
                <c:ptCount val="5"/>
                <c:pt idx="0">
                  <c:v>75.841717829255813</c:v>
                </c:pt>
                <c:pt idx="1">
                  <c:v>75.841717829255813</c:v>
                </c:pt>
                <c:pt idx="2">
                  <c:v>75.841717829255813</c:v>
                </c:pt>
                <c:pt idx="3">
                  <c:v>74.168769770579345</c:v>
                </c:pt>
                <c:pt idx="4">
                  <c:v>74.461252200743104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C-4E1C-BCBD-5AC00A0DE230}"/>
            </c:ext>
          </c:extLst>
        </c:ser>
        <c:ser>
          <c:idx val="1"/>
          <c:order val="1"/>
          <c:tx>
            <c:strRef>
              <c:f>'2024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Summary'!$F$58:$J$58</c:f>
              <c:numCache>
                <c:formatCode>#,##0</c:formatCode>
                <c:ptCount val="5"/>
                <c:pt idx="0">
                  <c:v>4579741</c:v>
                </c:pt>
                <c:pt idx="1">
                  <c:v>6609074.7340000002</c:v>
                </c:pt>
                <c:pt idx="2">
                  <c:v>7578090</c:v>
                </c:pt>
                <c:pt idx="3">
                  <c:v>10466020</c:v>
                </c:pt>
                <c:pt idx="4">
                  <c:v>11855325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C-4E1C-BCBD-5AC00A0D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'2024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 Sales Summary'!$F$63:$J$63</c:f>
              <c:numCache>
                <c:formatCode>#,##0</c:formatCode>
                <c:ptCount val="5"/>
                <c:pt idx="0">
                  <c:v>3958500.8</c:v>
                </c:pt>
                <c:pt idx="1">
                  <c:v>5579235.7871999992</c:v>
                </c:pt>
                <c:pt idx="2">
                  <c:v>6849797</c:v>
                </c:pt>
                <c:pt idx="3">
                  <c:v>9466431</c:v>
                </c:pt>
                <c:pt idx="4">
                  <c:v>10577630.000000002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DC-4E1C-BCBD-5AC00A0D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Summary'!$F$51:$J$51</c:f>
              <c:numCache>
                <c:formatCode>#,##0</c:formatCode>
                <c:ptCount val="5"/>
                <c:pt idx="0">
                  <c:v>75.841717829255813</c:v>
                </c:pt>
                <c:pt idx="1">
                  <c:v>75.841717829255813</c:v>
                </c:pt>
                <c:pt idx="2">
                  <c:v>75.841717829255813</c:v>
                </c:pt>
                <c:pt idx="3">
                  <c:v>74.168769770579345</c:v>
                </c:pt>
                <c:pt idx="4">
                  <c:v>74.461252200743104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9-44B4-A69A-6E087F6F3ACF}"/>
            </c:ext>
          </c:extLst>
        </c:ser>
        <c:ser>
          <c:idx val="1"/>
          <c:order val="1"/>
          <c:tx>
            <c:strRef>
              <c:f>'2026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Summary'!$F$58:$J$58</c:f>
              <c:numCache>
                <c:formatCode>#,##0</c:formatCode>
                <c:ptCount val="5"/>
                <c:pt idx="0">
                  <c:v>4579741</c:v>
                </c:pt>
                <c:pt idx="1">
                  <c:v>6609074.7340000002</c:v>
                </c:pt>
                <c:pt idx="2">
                  <c:v>7578090</c:v>
                </c:pt>
                <c:pt idx="3">
                  <c:v>10466020</c:v>
                </c:pt>
                <c:pt idx="4">
                  <c:v>11855325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9-44B4-A69A-6E087F6F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'2026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'2026 Sales Summary'!$F$63:$J$63</c:f>
              <c:numCache>
                <c:formatCode>#,##0</c:formatCode>
                <c:ptCount val="5"/>
                <c:pt idx="0">
                  <c:v>3958500.8</c:v>
                </c:pt>
                <c:pt idx="1">
                  <c:v>5579235.7871999992</c:v>
                </c:pt>
                <c:pt idx="2">
                  <c:v>6849797</c:v>
                </c:pt>
                <c:pt idx="3">
                  <c:v>9466431</c:v>
                </c:pt>
                <c:pt idx="4">
                  <c:v>10577630.000000002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9-44B4-A69A-6E087F6F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'2026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'2026 Sales Summary'!$F$60:$J$60</c:f>
              <c:numCache>
                <c:formatCode>#,##0</c:formatCode>
                <c:ptCount val="5"/>
                <c:pt idx="0">
                  <c:v>3663792.8</c:v>
                </c:pt>
                <c:pt idx="1">
                  <c:v>5287259.7871999992</c:v>
                </c:pt>
                <c:pt idx="2">
                  <c:v>6062472</c:v>
                </c:pt>
                <c:pt idx="3">
                  <c:v>8372816.0000000009</c:v>
                </c:pt>
                <c:pt idx="4">
                  <c:v>9484260.0000000019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4-45D4-BD29-0617D79F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'2026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Summary'!$F$62:$J$62</c:f>
              <c:numCache>
                <c:formatCode>#,##0</c:formatCode>
                <c:ptCount val="5"/>
                <c:pt idx="0">
                  <c:v>3783324.8</c:v>
                </c:pt>
                <c:pt idx="1">
                  <c:v>5404059.7871999992</c:v>
                </c:pt>
                <c:pt idx="2">
                  <c:v>6182621</c:v>
                </c:pt>
                <c:pt idx="3">
                  <c:v>8493353</c:v>
                </c:pt>
                <c:pt idx="4">
                  <c:v>9604552.0000000019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4-45D4-BD29-0617D79F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2026'!$E$45:$I$45</c:f>
              <c:numCache>
                <c:formatCode>#,##0</c:formatCode>
                <c:ptCount val="5"/>
                <c:pt idx="0">
                  <c:v>449900</c:v>
                </c:pt>
                <c:pt idx="1">
                  <c:v>586218.73300000001</c:v>
                </c:pt>
                <c:pt idx="2">
                  <c:v>661710</c:v>
                </c:pt>
                <c:pt idx="3">
                  <c:v>994995</c:v>
                </c:pt>
                <c:pt idx="4">
                  <c:v>1118310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5-4A71-B291-6E646D762A23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2026'!$E$57:$I$57</c:f>
              <c:numCache>
                <c:formatCode>#,##0</c:formatCode>
                <c:ptCount val="5"/>
                <c:pt idx="0">
                  <c:v>428975</c:v>
                </c:pt>
                <c:pt idx="1">
                  <c:v>565293.73300000001</c:v>
                </c:pt>
                <c:pt idx="2">
                  <c:v>659785</c:v>
                </c:pt>
                <c:pt idx="3">
                  <c:v>936722</c:v>
                </c:pt>
                <c:pt idx="4">
                  <c:v>1054137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5-4A71-B291-6E646D762A23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2026'!$E$64:$I$64</c:f>
              <c:numCache>
                <c:formatCode>#,##0</c:formatCode>
                <c:ptCount val="5"/>
                <c:pt idx="0">
                  <c:v>343180</c:v>
                </c:pt>
                <c:pt idx="1">
                  <c:v>452234.98639999999</c:v>
                </c:pt>
                <c:pt idx="2">
                  <c:v>527828</c:v>
                </c:pt>
                <c:pt idx="3">
                  <c:v>749377.6</c:v>
                </c:pt>
                <c:pt idx="4">
                  <c:v>843309.6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95-4A71-B291-6E646D76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2026'!$K$45:$V$45</c:f>
              <c:numCache>
                <c:formatCode>#,##0</c:formatCode>
                <c:ptCount val="12"/>
                <c:pt idx="0">
                  <c:v>604075</c:v>
                </c:pt>
                <c:pt idx="1">
                  <c:v>611500</c:v>
                </c:pt>
                <c:pt idx="2">
                  <c:v>571645</c:v>
                </c:pt>
                <c:pt idx="3">
                  <c:v>919695</c:v>
                </c:pt>
                <c:pt idx="4">
                  <c:v>580055</c:v>
                </c:pt>
                <c:pt idx="5">
                  <c:v>586650</c:v>
                </c:pt>
                <c:pt idx="6">
                  <c:v>603345</c:v>
                </c:pt>
                <c:pt idx="7">
                  <c:v>595110</c:v>
                </c:pt>
                <c:pt idx="8">
                  <c:v>617740</c:v>
                </c:pt>
                <c:pt idx="9">
                  <c:v>620345</c:v>
                </c:pt>
                <c:pt idx="10">
                  <c:v>629320</c:v>
                </c:pt>
                <c:pt idx="11">
                  <c:v>661710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C-490A-B1DA-88F731D52EC8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2026'!$K$57:$V$57</c:f>
              <c:numCache>
                <c:formatCode>#,##0</c:formatCode>
                <c:ptCount val="12"/>
                <c:pt idx="0">
                  <c:v>602150</c:v>
                </c:pt>
                <c:pt idx="1">
                  <c:v>609575</c:v>
                </c:pt>
                <c:pt idx="2">
                  <c:v>569720</c:v>
                </c:pt>
                <c:pt idx="3">
                  <c:v>917770</c:v>
                </c:pt>
                <c:pt idx="4">
                  <c:v>578130</c:v>
                </c:pt>
                <c:pt idx="5">
                  <c:v>584725</c:v>
                </c:pt>
                <c:pt idx="6">
                  <c:v>601420</c:v>
                </c:pt>
                <c:pt idx="7">
                  <c:v>593185</c:v>
                </c:pt>
                <c:pt idx="8">
                  <c:v>615815</c:v>
                </c:pt>
                <c:pt idx="9">
                  <c:v>618420</c:v>
                </c:pt>
                <c:pt idx="10">
                  <c:v>627395</c:v>
                </c:pt>
                <c:pt idx="11">
                  <c:v>659785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C-490A-B1DA-88F731D52EC8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2026'!$K$64:$V$64</c:f>
              <c:numCache>
                <c:formatCode>#,##0</c:formatCode>
                <c:ptCount val="12"/>
                <c:pt idx="0">
                  <c:v>481720</c:v>
                </c:pt>
                <c:pt idx="1">
                  <c:v>487660</c:v>
                </c:pt>
                <c:pt idx="2">
                  <c:v>455776</c:v>
                </c:pt>
                <c:pt idx="3">
                  <c:v>734216</c:v>
                </c:pt>
                <c:pt idx="4">
                  <c:v>462504</c:v>
                </c:pt>
                <c:pt idx="5">
                  <c:v>467780</c:v>
                </c:pt>
                <c:pt idx="6">
                  <c:v>481136</c:v>
                </c:pt>
                <c:pt idx="7">
                  <c:v>474548</c:v>
                </c:pt>
                <c:pt idx="8">
                  <c:v>492652</c:v>
                </c:pt>
                <c:pt idx="9">
                  <c:v>494736</c:v>
                </c:pt>
                <c:pt idx="10">
                  <c:v>501916</c:v>
                </c:pt>
                <c:pt idx="11">
                  <c:v>527828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C-490A-B1DA-88F731D5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2024'!$E$8:$I$8</c:f>
              <c:numCache>
                <c:formatCode>#,##0</c:formatCode>
                <c:ptCount val="5"/>
                <c:pt idx="0">
                  <c:v>290479.59999999998</c:v>
                </c:pt>
                <c:pt idx="1">
                  <c:v>439897.78639999998</c:v>
                </c:pt>
                <c:pt idx="2">
                  <c:v>529128</c:v>
                </c:pt>
                <c:pt idx="3">
                  <c:v>807025.6</c:v>
                </c:pt>
                <c:pt idx="4">
                  <c:v>906857.6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1-4891-A9E3-2C9B9FFCC8CA}"/>
            </c:ext>
          </c:extLst>
        </c:ser>
        <c:ser>
          <c:idx val="1"/>
          <c:order val="1"/>
          <c:tx>
            <c:strRef>
              <c:f>'Statements Summary 2024'!$B$11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1-4891-A9E3-2C9B9FFCC8CA}"/>
            </c:ext>
          </c:extLst>
        </c:ser>
        <c:ser>
          <c:idx val="2"/>
          <c:order val="2"/>
          <c:tx>
            <c:strRef>
              <c:f>'Statements Summary 2024'!$B$15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2024'!$B$16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2024'!$E$16:$I$16</c:f>
              <c:numCache>
                <c:formatCode>#,##0</c:formatCode>
                <c:ptCount val="5"/>
                <c:pt idx="0">
                  <c:v>290479.59999999998</c:v>
                </c:pt>
                <c:pt idx="1">
                  <c:v>439897.78639999998</c:v>
                </c:pt>
                <c:pt idx="2">
                  <c:v>529128</c:v>
                </c:pt>
                <c:pt idx="3">
                  <c:v>807025.6</c:v>
                </c:pt>
                <c:pt idx="4">
                  <c:v>906857.6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01-4891-A9E3-2C9B9FFCC8CA}"/>
            </c:ext>
          </c:extLst>
        </c:ser>
        <c:ser>
          <c:idx val="4"/>
          <c:order val="4"/>
          <c:tx>
            <c:strRef>
              <c:f>'Statements Summary 2024'!$B$17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2024'!$E$17:$I$17</c:f>
              <c:numCache>
                <c:formatCode>#,##0</c:formatCode>
                <c:ptCount val="5"/>
                <c:pt idx="0">
                  <c:v>564141.19999999995</c:v>
                </c:pt>
                <c:pt idx="1">
                  <c:v>862977.57279999997</c:v>
                </c:pt>
                <c:pt idx="2">
                  <c:v>1058256</c:v>
                </c:pt>
                <c:pt idx="3">
                  <c:v>1614051.2000000002</c:v>
                </c:pt>
                <c:pt idx="4">
                  <c:v>1813715.2000000002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2026'!$K$8:$V$8</c:f>
              <c:numCache>
                <c:formatCode>#,##0</c:formatCode>
                <c:ptCount val="12"/>
                <c:pt idx="0">
                  <c:v>454803.20000000001</c:v>
                </c:pt>
                <c:pt idx="1">
                  <c:v>465163.6</c:v>
                </c:pt>
                <c:pt idx="2">
                  <c:v>437700</c:v>
                </c:pt>
                <c:pt idx="3">
                  <c:v>720560.4</c:v>
                </c:pt>
                <c:pt idx="4">
                  <c:v>453268.8</c:v>
                </c:pt>
                <c:pt idx="5">
                  <c:v>462965.2</c:v>
                </c:pt>
                <c:pt idx="6">
                  <c:v>480741.6</c:v>
                </c:pt>
                <c:pt idx="7">
                  <c:v>475848</c:v>
                </c:pt>
                <c:pt idx="8">
                  <c:v>493952</c:v>
                </c:pt>
                <c:pt idx="9">
                  <c:v>496036</c:v>
                </c:pt>
                <c:pt idx="10">
                  <c:v>503216</c:v>
                </c:pt>
                <c:pt idx="11">
                  <c:v>529128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8-4671-A121-BF78DA05D373}"/>
            </c:ext>
          </c:extLst>
        </c:ser>
        <c:ser>
          <c:idx val="1"/>
          <c:order val="1"/>
          <c:tx>
            <c:strRef>
              <c:f>'Statements Summary 2026'!$B$11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8-4671-A121-BF78DA05D373}"/>
            </c:ext>
          </c:extLst>
        </c:ser>
        <c:ser>
          <c:idx val="2"/>
          <c:order val="2"/>
          <c:tx>
            <c:strRef>
              <c:f>'Statements Summary 2026'!$B$15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2026'!$K$15:$V$15</c:f>
              <c:numCache>
                <c:formatCode>#,##0</c:formatCode>
                <c:ptCount val="12"/>
                <c:pt idx="0">
                  <c:v>0</c:v>
                </c:pt>
                <c:pt idx="1">
                  <c:v>-22102</c:v>
                </c:pt>
                <c:pt idx="2">
                  <c:v>-22102</c:v>
                </c:pt>
                <c:pt idx="3">
                  <c:v>-22102</c:v>
                </c:pt>
                <c:pt idx="4">
                  <c:v>-22102</c:v>
                </c:pt>
                <c:pt idx="5">
                  <c:v>-22102</c:v>
                </c:pt>
                <c:pt idx="6">
                  <c:v>-22102</c:v>
                </c:pt>
                <c:pt idx="7">
                  <c:v>-8472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2026'!$B$16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2026'!$K$16:$V$16</c:f>
              <c:numCache>
                <c:formatCode>#,##0</c:formatCode>
                <c:ptCount val="12"/>
                <c:pt idx="0">
                  <c:v>454803.20000000001</c:v>
                </c:pt>
                <c:pt idx="1">
                  <c:v>465163.6</c:v>
                </c:pt>
                <c:pt idx="2">
                  <c:v>437700</c:v>
                </c:pt>
                <c:pt idx="3">
                  <c:v>720560.4</c:v>
                </c:pt>
                <c:pt idx="4">
                  <c:v>453268.8</c:v>
                </c:pt>
                <c:pt idx="5">
                  <c:v>462965.2</c:v>
                </c:pt>
                <c:pt idx="6">
                  <c:v>480741.6</c:v>
                </c:pt>
                <c:pt idx="7">
                  <c:v>475848</c:v>
                </c:pt>
                <c:pt idx="8">
                  <c:v>493952</c:v>
                </c:pt>
                <c:pt idx="9">
                  <c:v>496036</c:v>
                </c:pt>
                <c:pt idx="10">
                  <c:v>503216</c:v>
                </c:pt>
                <c:pt idx="11">
                  <c:v>529128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8-4671-A121-BF78DA05D373}"/>
            </c:ext>
          </c:extLst>
        </c:ser>
        <c:ser>
          <c:idx val="4"/>
          <c:order val="4"/>
          <c:tx>
            <c:strRef>
              <c:f>'Statements Summary 2026'!$B$17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2026'!$K$17:$V$17</c:f>
              <c:numCache>
                <c:formatCode>#,##0</c:formatCode>
                <c:ptCount val="12"/>
                <c:pt idx="0">
                  <c:v>887504.39999999991</c:v>
                </c:pt>
                <c:pt idx="1">
                  <c:v>908225.20000000007</c:v>
                </c:pt>
                <c:pt idx="2">
                  <c:v>853298</c:v>
                </c:pt>
                <c:pt idx="3">
                  <c:v>1419018.7999999998</c:v>
                </c:pt>
                <c:pt idx="4">
                  <c:v>884435.60000000009</c:v>
                </c:pt>
                <c:pt idx="5">
                  <c:v>903828.39999999991</c:v>
                </c:pt>
                <c:pt idx="6">
                  <c:v>939381.20000000007</c:v>
                </c:pt>
                <c:pt idx="7">
                  <c:v>943224</c:v>
                </c:pt>
                <c:pt idx="8">
                  <c:v>987904</c:v>
                </c:pt>
                <c:pt idx="9">
                  <c:v>992072</c:v>
                </c:pt>
                <c:pt idx="10">
                  <c:v>1006432</c:v>
                </c:pt>
                <c:pt idx="11">
                  <c:v>1058256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2024'!$E$85:$I$85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2024'!$E$86:$I$86</c:f>
              <c:numCache>
                <c:formatCode>#,##0</c:formatCode>
                <c:ptCount val="5"/>
                <c:pt idx="0">
                  <c:v>2624392.4</c:v>
                </c:pt>
                <c:pt idx="1">
                  <c:v>7339792.1871999996</c:v>
                </c:pt>
                <c:pt idx="2">
                  <c:v>13149988.987199999</c:v>
                </c:pt>
                <c:pt idx="3">
                  <c:v>22338154.987199992</c:v>
                </c:pt>
                <c:pt idx="4">
                  <c:v>32696764.987199977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D-4DDF-A5EB-AD1ED8647ADF}"/>
            </c:ext>
          </c:extLst>
        </c:ser>
        <c:ser>
          <c:idx val="2"/>
          <c:order val="2"/>
          <c:tx>
            <c:strRef>
              <c:f>'Statements Summary 2024'!$B$89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2024'!$E$85:$I$85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2024'!$E$89:$I$89</c:f>
              <c:numCache>
                <c:formatCode>#,##0</c:formatCode>
                <c:ptCount val="5"/>
                <c:pt idx="0">
                  <c:v>-85795</c:v>
                </c:pt>
                <c:pt idx="1">
                  <c:v>-113058.74660000001</c:v>
                </c:pt>
                <c:pt idx="2">
                  <c:v>-131957</c:v>
                </c:pt>
                <c:pt idx="3">
                  <c:v>-187344.40000000002</c:v>
                </c:pt>
                <c:pt idx="4">
                  <c:v>-210827.40000000002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2024'!$B$88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2024'!$E$88:$I$88</c:f>
              <c:numCache>
                <c:formatCode>#,##0</c:formatCode>
                <c:ptCount val="5"/>
                <c:pt idx="0">
                  <c:v>3094924.4</c:v>
                </c:pt>
                <c:pt idx="1">
                  <c:v>7828124.1871999996</c:v>
                </c:pt>
                <c:pt idx="2">
                  <c:v>13659469.987199999</c:v>
                </c:pt>
                <c:pt idx="3">
                  <c:v>22869172.987199992</c:v>
                </c:pt>
                <c:pt idx="4">
                  <c:v>33249164.987199977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0D-4DDF-A5EB-AD1ED8647ADF}"/>
            </c:ext>
          </c:extLst>
        </c:ser>
        <c:ser>
          <c:idx val="3"/>
          <c:order val="3"/>
          <c:tx>
            <c:strRef>
              <c:f>'Statements Summary 2024'!$B$92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2024'!$E$92:$I$92</c:f>
              <c:numCache>
                <c:formatCode>#,##0</c:formatCode>
                <c:ptCount val="5"/>
                <c:pt idx="0">
                  <c:v>2644127.4</c:v>
                </c:pt>
                <c:pt idx="1">
                  <c:v>7551879.4405999994</c:v>
                </c:pt>
                <c:pt idx="2">
                  <c:v>13527512.987199999</c:v>
                </c:pt>
                <c:pt idx="3">
                  <c:v>22681828.587199993</c:v>
                </c:pt>
                <c:pt idx="4">
                  <c:v>33038337.587199979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0D-4DDF-A5EB-AD1ED8647ADF}"/>
            </c:ext>
          </c:extLst>
        </c:ser>
        <c:ser>
          <c:idx val="4"/>
          <c:order val="4"/>
          <c:tx>
            <c:strRef>
              <c:f>'Statements Summary 2024'!$B$93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2024'!$E$93:$I$93</c:f>
              <c:numCache>
                <c:formatCode>#,##0</c:formatCode>
                <c:ptCount val="5"/>
                <c:pt idx="0">
                  <c:v>2624392.4</c:v>
                </c:pt>
                <c:pt idx="1">
                  <c:v>7339792.1871999996</c:v>
                </c:pt>
                <c:pt idx="2">
                  <c:v>13149988.987199999</c:v>
                </c:pt>
                <c:pt idx="3">
                  <c:v>22338154.987199992</c:v>
                </c:pt>
                <c:pt idx="4">
                  <c:v>32696764.987199977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2025'!$K$87:$V$87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2026'!$K$88:$V$88</c:f>
              <c:numCache>
                <c:formatCode>#,##0</c:formatCode>
                <c:ptCount val="12"/>
                <c:pt idx="0">
                  <c:v>7772493.3871999998</c:v>
                </c:pt>
                <c:pt idx="1">
                  <c:v>8215554.9871999994</c:v>
                </c:pt>
                <c:pt idx="2">
                  <c:v>8631152.9871999994</c:v>
                </c:pt>
                <c:pt idx="3">
                  <c:v>9329611.3871999998</c:v>
                </c:pt>
                <c:pt idx="4">
                  <c:v>9760778.1872000005</c:v>
                </c:pt>
                <c:pt idx="5">
                  <c:v>10201641.3872</c:v>
                </c:pt>
                <c:pt idx="6">
                  <c:v>10660280.987199999</c:v>
                </c:pt>
                <c:pt idx="7">
                  <c:v>11127656.987199999</c:v>
                </c:pt>
                <c:pt idx="8">
                  <c:v>11621608.987199999</c:v>
                </c:pt>
                <c:pt idx="9">
                  <c:v>12117644.987199999</c:v>
                </c:pt>
                <c:pt idx="10">
                  <c:v>12620860.987199999</c:v>
                </c:pt>
                <c:pt idx="11">
                  <c:v>13149988.987199999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4-4227-BB7D-EE0C0A9EAA1E}"/>
            </c:ext>
          </c:extLst>
        </c:ser>
        <c:ser>
          <c:idx val="2"/>
          <c:order val="2"/>
          <c:tx>
            <c:strRef>
              <c:f>'Statements Summary 2026'!$B$91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2025'!$K$87:$V$87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2026'!$K$91:$V$91</c:f>
              <c:numCache>
                <c:formatCode>#,##0</c:formatCode>
                <c:ptCount val="12"/>
                <c:pt idx="0">
                  <c:v>-120430</c:v>
                </c:pt>
                <c:pt idx="1">
                  <c:v>-121915</c:v>
                </c:pt>
                <c:pt idx="2">
                  <c:v>-113944</c:v>
                </c:pt>
                <c:pt idx="3">
                  <c:v>-183554</c:v>
                </c:pt>
                <c:pt idx="4">
                  <c:v>-115626</c:v>
                </c:pt>
                <c:pt idx="5">
                  <c:v>-116945</c:v>
                </c:pt>
                <c:pt idx="6">
                  <c:v>-120284</c:v>
                </c:pt>
                <c:pt idx="7">
                  <c:v>-118637</c:v>
                </c:pt>
                <c:pt idx="8">
                  <c:v>-123163</c:v>
                </c:pt>
                <c:pt idx="9">
                  <c:v>-123684</c:v>
                </c:pt>
                <c:pt idx="10">
                  <c:v>-125479</c:v>
                </c:pt>
                <c:pt idx="11">
                  <c:v>-131957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2026'!$B$90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2026'!$K$90:$V$90</c:f>
              <c:numCache>
                <c:formatCode>#,##0</c:formatCode>
                <c:ptCount val="12"/>
                <c:pt idx="0">
                  <c:v>8262675.3871999998</c:v>
                </c:pt>
                <c:pt idx="1">
                  <c:v>8707586.9871999994</c:v>
                </c:pt>
                <c:pt idx="2">
                  <c:v>9125034.9871999994</c:v>
                </c:pt>
                <c:pt idx="3">
                  <c:v>9825204.3871999998</c:v>
                </c:pt>
                <c:pt idx="4">
                  <c:v>10258082.187200001</c:v>
                </c:pt>
                <c:pt idx="5">
                  <c:v>10700656.3872</c:v>
                </c:pt>
                <c:pt idx="6">
                  <c:v>11161006.987199999</c:v>
                </c:pt>
                <c:pt idx="7">
                  <c:v>11630093.987199999</c:v>
                </c:pt>
                <c:pt idx="8">
                  <c:v>12125756.987199999</c:v>
                </c:pt>
                <c:pt idx="9">
                  <c:v>12623503.987199999</c:v>
                </c:pt>
                <c:pt idx="10">
                  <c:v>13128430.987199999</c:v>
                </c:pt>
                <c:pt idx="11">
                  <c:v>13659469.987199999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4-4227-BB7D-EE0C0A9EAA1E}"/>
            </c:ext>
          </c:extLst>
        </c:ser>
        <c:ser>
          <c:idx val="3"/>
          <c:order val="3"/>
          <c:tx>
            <c:strRef>
              <c:f>'Statements Summary 2026'!$B$94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2026'!$K$94:$V$94</c:f>
              <c:numCache>
                <c:formatCode>#,##0</c:formatCode>
                <c:ptCount val="12"/>
                <c:pt idx="0">
                  <c:v>7860077.3871999998</c:v>
                </c:pt>
                <c:pt idx="1">
                  <c:v>8347707.9871999994</c:v>
                </c:pt>
                <c:pt idx="2">
                  <c:v>8817330.9871999994</c:v>
                </c:pt>
                <c:pt idx="3">
                  <c:v>9492094.3871999998</c:v>
                </c:pt>
                <c:pt idx="4">
                  <c:v>10037104.187200001</c:v>
                </c:pt>
                <c:pt idx="5">
                  <c:v>10522563.3872</c:v>
                </c:pt>
                <c:pt idx="6">
                  <c:v>11023778.987199999</c:v>
                </c:pt>
                <c:pt idx="7">
                  <c:v>11511456.987199999</c:v>
                </c:pt>
                <c:pt idx="8">
                  <c:v>12002593.987199999</c:v>
                </c:pt>
                <c:pt idx="9">
                  <c:v>12499819.987199999</c:v>
                </c:pt>
                <c:pt idx="10">
                  <c:v>13002951.987199999</c:v>
                </c:pt>
                <c:pt idx="11">
                  <c:v>13527512.987199999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4-4227-BB7D-EE0C0A9EAA1E}"/>
            </c:ext>
          </c:extLst>
        </c:ser>
        <c:ser>
          <c:idx val="4"/>
          <c:order val="4"/>
          <c:tx>
            <c:strRef>
              <c:f>'Statements Summary 2026'!$B$95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2026'!$K$95:$V$95</c:f>
              <c:numCache>
                <c:formatCode>#,##0</c:formatCode>
                <c:ptCount val="12"/>
                <c:pt idx="0">
                  <c:v>7772493.3871999998</c:v>
                </c:pt>
                <c:pt idx="1">
                  <c:v>8215554.9871999994</c:v>
                </c:pt>
                <c:pt idx="2">
                  <c:v>8631152.9871999994</c:v>
                </c:pt>
                <c:pt idx="3">
                  <c:v>9329611.3871999998</c:v>
                </c:pt>
                <c:pt idx="4">
                  <c:v>9760778.1872000005</c:v>
                </c:pt>
                <c:pt idx="5">
                  <c:v>10201641.3872</c:v>
                </c:pt>
                <c:pt idx="6">
                  <c:v>10660280.987199999</c:v>
                </c:pt>
                <c:pt idx="7">
                  <c:v>11127656.987199999</c:v>
                </c:pt>
                <c:pt idx="8">
                  <c:v>11621608.987199999</c:v>
                </c:pt>
                <c:pt idx="9">
                  <c:v>12117644.987199999</c:v>
                </c:pt>
                <c:pt idx="10">
                  <c:v>12620860.987199999</c:v>
                </c:pt>
                <c:pt idx="11">
                  <c:v>13149988.987199999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'2027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Summary'!$F$44:$J$44</c:f>
              <c:numCache>
                <c:formatCode>#,##0</c:formatCode>
                <c:ptCount val="5"/>
                <c:pt idx="0">
                  <c:v>4830841</c:v>
                </c:pt>
                <c:pt idx="1">
                  <c:v>6860174.7340000002</c:v>
                </c:pt>
                <c:pt idx="2">
                  <c:v>7601190</c:v>
                </c:pt>
                <c:pt idx="3">
                  <c:v>11288870</c:v>
                </c:pt>
                <c:pt idx="4">
                  <c:v>12737175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F-494B-B2F7-9F3858F9DF92}"/>
            </c:ext>
          </c:extLst>
        </c:ser>
        <c:ser>
          <c:idx val="1"/>
          <c:order val="1"/>
          <c:tx>
            <c:strRef>
              <c:f>'2027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Summary'!$F$53:$J$53</c:f>
              <c:numCache>
                <c:formatCode>#,##0</c:formatCode>
                <c:ptCount val="5"/>
                <c:pt idx="0">
                  <c:v>4579741</c:v>
                </c:pt>
                <c:pt idx="1">
                  <c:v>6609074.7340000002</c:v>
                </c:pt>
                <c:pt idx="2">
                  <c:v>7578090</c:v>
                </c:pt>
                <c:pt idx="3">
                  <c:v>7578090</c:v>
                </c:pt>
                <c:pt idx="4">
                  <c:v>11855325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F-494B-B2F7-9F3858F9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'2027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'2027 Sales Summary'!$F$54:$J$54</c:f>
              <c:numCache>
                <c:formatCode>0%</c:formatCode>
                <c:ptCount val="5"/>
                <c:pt idx="0">
                  <c:v>0.94802147286569771</c:v>
                </c:pt>
                <c:pt idx="1">
                  <c:v>0.94802147286569771</c:v>
                </c:pt>
                <c:pt idx="2">
                  <c:v>0.94802147286569771</c:v>
                </c:pt>
                <c:pt idx="3">
                  <c:v>0.67128862321915306</c:v>
                </c:pt>
                <c:pt idx="4">
                  <c:v>0.93076565250928878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0F-494B-B2F7-9F3858F9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Summary'!$F$51:$J$51</c:f>
              <c:numCache>
                <c:formatCode>#,##0</c:formatCode>
                <c:ptCount val="5"/>
                <c:pt idx="0">
                  <c:v>75.841717829255813</c:v>
                </c:pt>
                <c:pt idx="1">
                  <c:v>75.841717829255813</c:v>
                </c:pt>
                <c:pt idx="2">
                  <c:v>75.841717829255813</c:v>
                </c:pt>
                <c:pt idx="3">
                  <c:v>74.168769770579345</c:v>
                </c:pt>
                <c:pt idx="4">
                  <c:v>74.461252200743104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E-4A59-B36D-A05ABD8AB258}"/>
            </c:ext>
          </c:extLst>
        </c:ser>
        <c:ser>
          <c:idx val="1"/>
          <c:order val="1"/>
          <c:tx>
            <c:strRef>
              <c:f>'2027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Summary'!$F$58:$J$58</c:f>
              <c:numCache>
                <c:formatCode>#,##0</c:formatCode>
                <c:ptCount val="5"/>
                <c:pt idx="0">
                  <c:v>4579741</c:v>
                </c:pt>
                <c:pt idx="1">
                  <c:v>6609074.7340000002</c:v>
                </c:pt>
                <c:pt idx="2">
                  <c:v>7578090</c:v>
                </c:pt>
                <c:pt idx="3">
                  <c:v>10466020</c:v>
                </c:pt>
                <c:pt idx="4">
                  <c:v>11855325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E-4A59-B36D-A05ABD8A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'2027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'2027 Sales Summary'!$F$63:$J$63</c:f>
              <c:numCache>
                <c:formatCode>#,##0</c:formatCode>
                <c:ptCount val="5"/>
                <c:pt idx="0">
                  <c:v>3958500.8</c:v>
                </c:pt>
                <c:pt idx="1">
                  <c:v>5579235.7871999992</c:v>
                </c:pt>
                <c:pt idx="2">
                  <c:v>6849797</c:v>
                </c:pt>
                <c:pt idx="3">
                  <c:v>9466431</c:v>
                </c:pt>
                <c:pt idx="4">
                  <c:v>10577630.000000002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EE-4A59-B36D-A05ABD8A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'2024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 Sales Summary'!$F$60:$J$60</c:f>
              <c:numCache>
                <c:formatCode>#,##0</c:formatCode>
                <c:ptCount val="5"/>
                <c:pt idx="0">
                  <c:v>3663792.8</c:v>
                </c:pt>
                <c:pt idx="1">
                  <c:v>5287259.7871999992</c:v>
                </c:pt>
                <c:pt idx="2">
                  <c:v>6062472</c:v>
                </c:pt>
                <c:pt idx="3">
                  <c:v>8372816.0000000009</c:v>
                </c:pt>
                <c:pt idx="4">
                  <c:v>9484260.0000000019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3-4683-B40A-A0DD283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'2024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'2024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Summary'!$F$62:$J$62</c:f>
              <c:numCache>
                <c:formatCode>#,##0</c:formatCode>
                <c:ptCount val="5"/>
                <c:pt idx="0">
                  <c:v>3783324.8</c:v>
                </c:pt>
                <c:pt idx="1">
                  <c:v>5404059.7871999992</c:v>
                </c:pt>
                <c:pt idx="2">
                  <c:v>6182621</c:v>
                </c:pt>
                <c:pt idx="3">
                  <c:v>8493353</c:v>
                </c:pt>
                <c:pt idx="4">
                  <c:v>9604552.0000000019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3-4683-B40A-A0DD283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'2027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'2027 Sales Summary'!$F$60:$J$60</c:f>
              <c:numCache>
                <c:formatCode>#,##0</c:formatCode>
                <c:ptCount val="5"/>
                <c:pt idx="0">
                  <c:v>3663792.8</c:v>
                </c:pt>
                <c:pt idx="1">
                  <c:v>5287259.7871999992</c:v>
                </c:pt>
                <c:pt idx="2">
                  <c:v>6062472</c:v>
                </c:pt>
                <c:pt idx="3">
                  <c:v>8372816.0000000009</c:v>
                </c:pt>
                <c:pt idx="4">
                  <c:v>9484260.0000000019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A-4543-AA27-25D17FB6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'2027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Summary'!$F$62:$J$62</c:f>
              <c:numCache>
                <c:formatCode>#,##0</c:formatCode>
                <c:ptCount val="5"/>
                <c:pt idx="0">
                  <c:v>3783324.8</c:v>
                </c:pt>
                <c:pt idx="1">
                  <c:v>5404059.7871999992</c:v>
                </c:pt>
                <c:pt idx="2">
                  <c:v>6182621</c:v>
                </c:pt>
                <c:pt idx="3">
                  <c:v>8493353</c:v>
                </c:pt>
                <c:pt idx="4">
                  <c:v>9604552.0000000019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A-4543-AA27-25D17FB6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2027'!$E$45:$I$45</c:f>
              <c:numCache>
                <c:formatCode>#,##0</c:formatCode>
                <c:ptCount val="5"/>
                <c:pt idx="0">
                  <c:v>449900</c:v>
                </c:pt>
                <c:pt idx="1">
                  <c:v>586218.73300000001</c:v>
                </c:pt>
                <c:pt idx="2">
                  <c:v>661710</c:v>
                </c:pt>
                <c:pt idx="3">
                  <c:v>994995</c:v>
                </c:pt>
                <c:pt idx="4">
                  <c:v>1118310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0-4CCA-B69E-D80880633BED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2027'!$E$57:$I$57</c:f>
              <c:numCache>
                <c:formatCode>#,##0</c:formatCode>
                <c:ptCount val="5"/>
                <c:pt idx="0">
                  <c:v>428975</c:v>
                </c:pt>
                <c:pt idx="1">
                  <c:v>565293.73300000001</c:v>
                </c:pt>
                <c:pt idx="2">
                  <c:v>659785</c:v>
                </c:pt>
                <c:pt idx="3">
                  <c:v>936722</c:v>
                </c:pt>
                <c:pt idx="4">
                  <c:v>1054137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70-4CCA-B69E-D80880633BED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2027'!$E$64:$I$64</c:f>
              <c:numCache>
                <c:formatCode>#,##0</c:formatCode>
                <c:ptCount val="5"/>
                <c:pt idx="0">
                  <c:v>343180</c:v>
                </c:pt>
                <c:pt idx="1">
                  <c:v>452234.98639999999</c:v>
                </c:pt>
                <c:pt idx="2">
                  <c:v>527828</c:v>
                </c:pt>
                <c:pt idx="3">
                  <c:v>749377.6</c:v>
                </c:pt>
                <c:pt idx="4">
                  <c:v>843309.6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0-4CCA-B69E-D80880633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2027'!$K$45:$V$45</c:f>
              <c:numCache>
                <c:formatCode>#,##0</c:formatCode>
                <c:ptCount val="12"/>
                <c:pt idx="0">
                  <c:v>883175</c:v>
                </c:pt>
                <c:pt idx="1">
                  <c:v>904835</c:v>
                </c:pt>
                <c:pt idx="2">
                  <c:v>911350</c:v>
                </c:pt>
                <c:pt idx="3">
                  <c:v>917485</c:v>
                </c:pt>
                <c:pt idx="4">
                  <c:v>923530</c:v>
                </c:pt>
                <c:pt idx="5">
                  <c:v>929665</c:v>
                </c:pt>
                <c:pt idx="6">
                  <c:v>936180</c:v>
                </c:pt>
                <c:pt idx="7">
                  <c:v>959660</c:v>
                </c:pt>
                <c:pt idx="8">
                  <c:v>967035</c:v>
                </c:pt>
                <c:pt idx="9">
                  <c:v>973840</c:v>
                </c:pt>
                <c:pt idx="10">
                  <c:v>987120</c:v>
                </c:pt>
                <c:pt idx="11">
                  <c:v>994995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2-4079-B57A-253305099B26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2027'!$K$57:$V$57</c:f>
              <c:numCache>
                <c:formatCode>#,##0</c:formatCode>
                <c:ptCount val="12"/>
                <c:pt idx="0">
                  <c:v>813668</c:v>
                </c:pt>
                <c:pt idx="1">
                  <c:v>835328</c:v>
                </c:pt>
                <c:pt idx="2">
                  <c:v>841843</c:v>
                </c:pt>
                <c:pt idx="3">
                  <c:v>847978</c:v>
                </c:pt>
                <c:pt idx="4">
                  <c:v>854023</c:v>
                </c:pt>
                <c:pt idx="5">
                  <c:v>860158</c:v>
                </c:pt>
                <c:pt idx="6">
                  <c:v>866673</c:v>
                </c:pt>
                <c:pt idx="7">
                  <c:v>890153</c:v>
                </c:pt>
                <c:pt idx="8">
                  <c:v>897528</c:v>
                </c:pt>
                <c:pt idx="9">
                  <c:v>904333</c:v>
                </c:pt>
                <c:pt idx="10">
                  <c:v>917613</c:v>
                </c:pt>
                <c:pt idx="11">
                  <c:v>936722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2-4079-B57A-253305099B26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2027'!$K$64:$V$64</c:f>
              <c:numCache>
                <c:formatCode>#,##0</c:formatCode>
                <c:ptCount val="12"/>
                <c:pt idx="0">
                  <c:v>650934.4</c:v>
                </c:pt>
                <c:pt idx="1">
                  <c:v>668262.40000000002</c:v>
                </c:pt>
                <c:pt idx="2">
                  <c:v>673474.4</c:v>
                </c:pt>
                <c:pt idx="3">
                  <c:v>678382.4</c:v>
                </c:pt>
                <c:pt idx="4">
                  <c:v>683218.4</c:v>
                </c:pt>
                <c:pt idx="5">
                  <c:v>688126.4</c:v>
                </c:pt>
                <c:pt idx="6">
                  <c:v>693338.4</c:v>
                </c:pt>
                <c:pt idx="7">
                  <c:v>712122.4</c:v>
                </c:pt>
                <c:pt idx="8">
                  <c:v>718022.4</c:v>
                </c:pt>
                <c:pt idx="9">
                  <c:v>723466.4</c:v>
                </c:pt>
                <c:pt idx="10">
                  <c:v>734090.4</c:v>
                </c:pt>
                <c:pt idx="11">
                  <c:v>749377.6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2-4079-B57A-253305099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2024'!$E$8:$I$8</c:f>
              <c:numCache>
                <c:formatCode>#,##0</c:formatCode>
                <c:ptCount val="5"/>
                <c:pt idx="0">
                  <c:v>290479.59999999998</c:v>
                </c:pt>
                <c:pt idx="1">
                  <c:v>439897.78639999998</c:v>
                </c:pt>
                <c:pt idx="2">
                  <c:v>529128</c:v>
                </c:pt>
                <c:pt idx="3">
                  <c:v>807025.6</c:v>
                </c:pt>
                <c:pt idx="4">
                  <c:v>906857.6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F-4E1A-A13B-341EA18E40C5}"/>
            </c:ext>
          </c:extLst>
        </c:ser>
        <c:ser>
          <c:idx val="1"/>
          <c:order val="1"/>
          <c:tx>
            <c:strRef>
              <c:f>'Statements Summary 2024'!$B$11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F-4E1A-A13B-341EA18E40C5}"/>
            </c:ext>
          </c:extLst>
        </c:ser>
        <c:ser>
          <c:idx val="2"/>
          <c:order val="2"/>
          <c:tx>
            <c:strRef>
              <c:f>'Statements Summary 2024'!$B$15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2024'!$B$16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2024'!$E$16:$I$16</c:f>
              <c:numCache>
                <c:formatCode>#,##0</c:formatCode>
                <c:ptCount val="5"/>
                <c:pt idx="0">
                  <c:v>290479.59999999998</c:v>
                </c:pt>
                <c:pt idx="1">
                  <c:v>439897.78639999998</c:v>
                </c:pt>
                <c:pt idx="2">
                  <c:v>529128</c:v>
                </c:pt>
                <c:pt idx="3">
                  <c:v>807025.6</c:v>
                </c:pt>
                <c:pt idx="4">
                  <c:v>906857.6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F-4E1A-A13B-341EA18E40C5}"/>
            </c:ext>
          </c:extLst>
        </c:ser>
        <c:ser>
          <c:idx val="4"/>
          <c:order val="4"/>
          <c:tx>
            <c:strRef>
              <c:f>'Statements Summary 2024'!$B$17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2024'!$E$17:$I$17</c:f>
              <c:numCache>
                <c:formatCode>#,##0</c:formatCode>
                <c:ptCount val="5"/>
                <c:pt idx="0">
                  <c:v>564141.19999999995</c:v>
                </c:pt>
                <c:pt idx="1">
                  <c:v>862977.57279999997</c:v>
                </c:pt>
                <c:pt idx="2">
                  <c:v>1058256</c:v>
                </c:pt>
                <c:pt idx="3">
                  <c:v>1614051.2000000002</c:v>
                </c:pt>
                <c:pt idx="4">
                  <c:v>1813715.2000000002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2027'!$K$8:$V$8</c:f>
              <c:numCache>
                <c:formatCode>#,##0</c:formatCode>
                <c:ptCount val="12"/>
                <c:pt idx="0">
                  <c:v>719816.4</c:v>
                </c:pt>
                <c:pt idx="1">
                  <c:v>737144.4</c:v>
                </c:pt>
                <c:pt idx="2">
                  <c:v>742356.4</c:v>
                </c:pt>
                <c:pt idx="3">
                  <c:v>747264.4</c:v>
                </c:pt>
                <c:pt idx="4">
                  <c:v>752100.4</c:v>
                </c:pt>
                <c:pt idx="5">
                  <c:v>757008.4</c:v>
                </c:pt>
                <c:pt idx="6">
                  <c:v>762220.4</c:v>
                </c:pt>
                <c:pt idx="7">
                  <c:v>781004.4</c:v>
                </c:pt>
                <c:pt idx="8">
                  <c:v>786904.4</c:v>
                </c:pt>
                <c:pt idx="9">
                  <c:v>792348.4</c:v>
                </c:pt>
                <c:pt idx="10">
                  <c:v>802972.4</c:v>
                </c:pt>
                <c:pt idx="11">
                  <c:v>807025.6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8-4414-9CF6-6BAA6C240A1C}"/>
            </c:ext>
          </c:extLst>
        </c:ser>
        <c:ser>
          <c:idx val="1"/>
          <c:order val="1"/>
          <c:tx>
            <c:strRef>
              <c:f>'Statements Summary 2027'!$B$11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8-4414-9CF6-6BAA6C240A1C}"/>
            </c:ext>
          </c:extLst>
        </c:ser>
        <c:ser>
          <c:idx val="2"/>
          <c:order val="2"/>
          <c:tx>
            <c:strRef>
              <c:f>'Statements Summary 2027'!$B$15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2027'!$K$15:$V$15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2027'!$B$16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2027'!$K$16:$V$16</c:f>
              <c:numCache>
                <c:formatCode>#,##0</c:formatCode>
                <c:ptCount val="12"/>
                <c:pt idx="0">
                  <c:v>719816.4</c:v>
                </c:pt>
                <c:pt idx="1">
                  <c:v>737144.4</c:v>
                </c:pt>
                <c:pt idx="2">
                  <c:v>742356.4</c:v>
                </c:pt>
                <c:pt idx="3">
                  <c:v>747264.4</c:v>
                </c:pt>
                <c:pt idx="4">
                  <c:v>752100.4</c:v>
                </c:pt>
                <c:pt idx="5">
                  <c:v>757008.4</c:v>
                </c:pt>
                <c:pt idx="6">
                  <c:v>762220.4</c:v>
                </c:pt>
                <c:pt idx="7">
                  <c:v>781004.4</c:v>
                </c:pt>
                <c:pt idx="8">
                  <c:v>786904.4</c:v>
                </c:pt>
                <c:pt idx="9">
                  <c:v>792348.4</c:v>
                </c:pt>
                <c:pt idx="10">
                  <c:v>802972.4</c:v>
                </c:pt>
                <c:pt idx="11">
                  <c:v>807025.6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68-4414-9CF6-6BAA6C240A1C}"/>
            </c:ext>
          </c:extLst>
        </c:ser>
        <c:ser>
          <c:idx val="4"/>
          <c:order val="4"/>
          <c:tx>
            <c:strRef>
              <c:f>'Statements Summary 2027'!$B$17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2027'!$K$17:$V$17</c:f>
              <c:numCache>
                <c:formatCode>#,##0</c:formatCode>
                <c:ptCount val="12"/>
                <c:pt idx="0">
                  <c:v>1439632.7999999998</c:v>
                </c:pt>
                <c:pt idx="1">
                  <c:v>1474288.7999999998</c:v>
                </c:pt>
                <c:pt idx="2">
                  <c:v>1484712.7999999998</c:v>
                </c:pt>
                <c:pt idx="3">
                  <c:v>1494528.7999999998</c:v>
                </c:pt>
                <c:pt idx="4">
                  <c:v>1504200.7999999998</c:v>
                </c:pt>
                <c:pt idx="5">
                  <c:v>1514016.7999999998</c:v>
                </c:pt>
                <c:pt idx="6">
                  <c:v>1524440.7999999998</c:v>
                </c:pt>
                <c:pt idx="7">
                  <c:v>1562008.7999999998</c:v>
                </c:pt>
                <c:pt idx="8">
                  <c:v>1573808.7999999998</c:v>
                </c:pt>
                <c:pt idx="9">
                  <c:v>1584696.7999999998</c:v>
                </c:pt>
                <c:pt idx="10">
                  <c:v>1605944.7999999998</c:v>
                </c:pt>
                <c:pt idx="11">
                  <c:v>1614051.2000000002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2024'!$E$85:$I$85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2024'!$E$86:$I$86</c:f>
              <c:numCache>
                <c:formatCode>#,##0</c:formatCode>
                <c:ptCount val="5"/>
                <c:pt idx="0">
                  <c:v>2624392.4</c:v>
                </c:pt>
                <c:pt idx="1">
                  <c:v>7339792.1871999996</c:v>
                </c:pt>
                <c:pt idx="2">
                  <c:v>13149988.987199999</c:v>
                </c:pt>
                <c:pt idx="3">
                  <c:v>22338154.987199992</c:v>
                </c:pt>
                <c:pt idx="4">
                  <c:v>32696764.987199977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C-4AB4-84DF-EC15E6365F18}"/>
            </c:ext>
          </c:extLst>
        </c:ser>
        <c:ser>
          <c:idx val="2"/>
          <c:order val="2"/>
          <c:tx>
            <c:strRef>
              <c:f>'Statements Summary 2024'!$B$89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2024'!$E$85:$I$85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2024'!$E$89:$I$89</c:f>
              <c:numCache>
                <c:formatCode>#,##0</c:formatCode>
                <c:ptCount val="5"/>
                <c:pt idx="0">
                  <c:v>-85795</c:v>
                </c:pt>
                <c:pt idx="1">
                  <c:v>-113058.74660000001</c:v>
                </c:pt>
                <c:pt idx="2">
                  <c:v>-131957</c:v>
                </c:pt>
                <c:pt idx="3">
                  <c:v>-187344.40000000002</c:v>
                </c:pt>
                <c:pt idx="4">
                  <c:v>-210827.40000000002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2024'!$B$88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2024'!$E$88:$I$88</c:f>
              <c:numCache>
                <c:formatCode>#,##0</c:formatCode>
                <c:ptCount val="5"/>
                <c:pt idx="0">
                  <c:v>3094924.4</c:v>
                </c:pt>
                <c:pt idx="1">
                  <c:v>7828124.1871999996</c:v>
                </c:pt>
                <c:pt idx="2">
                  <c:v>13659469.987199999</c:v>
                </c:pt>
                <c:pt idx="3">
                  <c:v>22869172.987199992</c:v>
                </c:pt>
                <c:pt idx="4">
                  <c:v>33249164.987199977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DC-4AB4-84DF-EC15E6365F18}"/>
            </c:ext>
          </c:extLst>
        </c:ser>
        <c:ser>
          <c:idx val="3"/>
          <c:order val="3"/>
          <c:tx>
            <c:strRef>
              <c:f>'Statements Summary 2024'!$B$92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2024'!$E$92:$I$92</c:f>
              <c:numCache>
                <c:formatCode>#,##0</c:formatCode>
                <c:ptCount val="5"/>
                <c:pt idx="0">
                  <c:v>2644127.4</c:v>
                </c:pt>
                <c:pt idx="1">
                  <c:v>7551879.4405999994</c:v>
                </c:pt>
                <c:pt idx="2">
                  <c:v>13527512.987199999</c:v>
                </c:pt>
                <c:pt idx="3">
                  <c:v>22681828.587199993</c:v>
                </c:pt>
                <c:pt idx="4">
                  <c:v>33038337.587199979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DC-4AB4-84DF-EC15E6365F18}"/>
            </c:ext>
          </c:extLst>
        </c:ser>
        <c:ser>
          <c:idx val="4"/>
          <c:order val="4"/>
          <c:tx>
            <c:strRef>
              <c:f>'Statements Summary 2024'!$B$93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2024'!$E$93:$I$93</c:f>
              <c:numCache>
                <c:formatCode>#,##0</c:formatCode>
                <c:ptCount val="5"/>
                <c:pt idx="0">
                  <c:v>2624392.4</c:v>
                </c:pt>
                <c:pt idx="1">
                  <c:v>7339792.1871999996</c:v>
                </c:pt>
                <c:pt idx="2">
                  <c:v>13149988.987199999</c:v>
                </c:pt>
                <c:pt idx="3">
                  <c:v>22338154.987199992</c:v>
                </c:pt>
                <c:pt idx="4">
                  <c:v>32696764.987199977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2025'!$K$87:$V$87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2027'!$K$88:$V$88</c:f>
              <c:numCache>
                <c:formatCode>#,##0</c:formatCode>
                <c:ptCount val="12"/>
                <c:pt idx="0">
                  <c:v>13869805.3872</c:v>
                </c:pt>
                <c:pt idx="1">
                  <c:v>14606949.7872</c:v>
                </c:pt>
                <c:pt idx="2">
                  <c:v>15349306.187200001</c:v>
                </c:pt>
                <c:pt idx="3">
                  <c:v>16096570.587200001</c:v>
                </c:pt>
                <c:pt idx="4">
                  <c:v>16848670.987199999</c:v>
                </c:pt>
                <c:pt idx="5">
                  <c:v>17605679.387199998</c:v>
                </c:pt>
                <c:pt idx="6">
                  <c:v>18367899.787199996</c:v>
                </c:pt>
                <c:pt idx="7">
                  <c:v>19148904.187199995</c:v>
                </c:pt>
                <c:pt idx="8">
                  <c:v>19935808.587199993</c:v>
                </c:pt>
                <c:pt idx="9">
                  <c:v>20728156.987199992</c:v>
                </c:pt>
                <c:pt idx="10">
                  <c:v>21531129.38719999</c:v>
                </c:pt>
                <c:pt idx="11">
                  <c:v>22338154.987199992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1-4702-B493-0F6A9D4722D7}"/>
            </c:ext>
          </c:extLst>
        </c:ser>
        <c:ser>
          <c:idx val="2"/>
          <c:order val="2"/>
          <c:tx>
            <c:strRef>
              <c:f>'Statements Summary 2027'!$B$91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2025'!$K$87:$V$87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2027'!$K$91:$V$91</c:f>
              <c:numCache>
                <c:formatCode>#,##0</c:formatCode>
                <c:ptCount val="12"/>
                <c:pt idx="0">
                  <c:v>-162733.6</c:v>
                </c:pt>
                <c:pt idx="1">
                  <c:v>-167065.60000000001</c:v>
                </c:pt>
                <c:pt idx="2">
                  <c:v>-168368.6</c:v>
                </c:pt>
                <c:pt idx="3">
                  <c:v>-169595.6</c:v>
                </c:pt>
                <c:pt idx="4">
                  <c:v>-170804.6</c:v>
                </c:pt>
                <c:pt idx="5">
                  <c:v>-172031.6</c:v>
                </c:pt>
                <c:pt idx="6">
                  <c:v>-173334.6</c:v>
                </c:pt>
                <c:pt idx="7">
                  <c:v>-178030.6</c:v>
                </c:pt>
                <c:pt idx="8">
                  <c:v>-179505.6</c:v>
                </c:pt>
                <c:pt idx="9">
                  <c:v>-180866.6</c:v>
                </c:pt>
                <c:pt idx="10">
                  <c:v>-183522.6</c:v>
                </c:pt>
                <c:pt idx="11">
                  <c:v>-187344.40000000002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2027'!$B$90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2027'!$K$90:$V$90</c:f>
              <c:numCache>
                <c:formatCode>#,##0</c:formatCode>
                <c:ptCount val="12"/>
                <c:pt idx="0">
                  <c:v>14381197.3872</c:v>
                </c:pt>
                <c:pt idx="1">
                  <c:v>15120252.7872</c:v>
                </c:pt>
                <c:pt idx="2">
                  <c:v>15864520.187200001</c:v>
                </c:pt>
                <c:pt idx="3">
                  <c:v>16613540.587200001</c:v>
                </c:pt>
                <c:pt idx="4">
                  <c:v>17367396.987199999</c:v>
                </c:pt>
                <c:pt idx="5">
                  <c:v>18126161.387199998</c:v>
                </c:pt>
                <c:pt idx="6">
                  <c:v>18890137.787199996</c:v>
                </c:pt>
                <c:pt idx="7">
                  <c:v>19672898.187199995</c:v>
                </c:pt>
                <c:pt idx="8">
                  <c:v>20461558.587199993</c:v>
                </c:pt>
                <c:pt idx="9">
                  <c:v>21255662.987199992</c:v>
                </c:pt>
                <c:pt idx="10">
                  <c:v>22060391.38719999</c:v>
                </c:pt>
                <c:pt idx="11">
                  <c:v>22869172.987199992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1-4702-B493-0F6A9D4722D7}"/>
            </c:ext>
          </c:extLst>
        </c:ser>
        <c:ser>
          <c:idx val="3"/>
          <c:order val="3"/>
          <c:tx>
            <c:strRef>
              <c:f>'Statements Summary 2027'!$B$94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2027'!$K$94:$V$94</c:f>
              <c:numCache>
                <c:formatCode>#,##0</c:formatCode>
                <c:ptCount val="12"/>
                <c:pt idx="0">
                  <c:v>14218463.7872</c:v>
                </c:pt>
                <c:pt idx="1">
                  <c:v>14953187.187200001</c:v>
                </c:pt>
                <c:pt idx="2">
                  <c:v>15696151.587200001</c:v>
                </c:pt>
                <c:pt idx="3">
                  <c:v>16443944.987200001</c:v>
                </c:pt>
                <c:pt idx="4">
                  <c:v>17196592.387199998</c:v>
                </c:pt>
                <c:pt idx="5">
                  <c:v>17954129.787199996</c:v>
                </c:pt>
                <c:pt idx="6">
                  <c:v>18716803.187199995</c:v>
                </c:pt>
                <c:pt idx="7">
                  <c:v>19494867.587199993</c:v>
                </c:pt>
                <c:pt idx="8">
                  <c:v>20282052.987199992</c:v>
                </c:pt>
                <c:pt idx="9">
                  <c:v>21074796.38719999</c:v>
                </c:pt>
                <c:pt idx="10">
                  <c:v>21876868.787199989</c:v>
                </c:pt>
                <c:pt idx="11">
                  <c:v>22681828.587199993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1-4702-B493-0F6A9D4722D7}"/>
            </c:ext>
          </c:extLst>
        </c:ser>
        <c:ser>
          <c:idx val="4"/>
          <c:order val="4"/>
          <c:tx>
            <c:strRef>
              <c:f>'Statements Summary 2027'!$B$95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2027'!$K$95:$V$95</c:f>
              <c:numCache>
                <c:formatCode>#,##0</c:formatCode>
                <c:ptCount val="12"/>
                <c:pt idx="0">
                  <c:v>13869805.3872</c:v>
                </c:pt>
                <c:pt idx="1">
                  <c:v>14606949.7872</c:v>
                </c:pt>
                <c:pt idx="2">
                  <c:v>15349306.187200001</c:v>
                </c:pt>
                <c:pt idx="3">
                  <c:v>16096570.587200001</c:v>
                </c:pt>
                <c:pt idx="4">
                  <c:v>16848670.987199999</c:v>
                </c:pt>
                <c:pt idx="5">
                  <c:v>17605679.387199998</c:v>
                </c:pt>
                <c:pt idx="6">
                  <c:v>18367899.787199996</c:v>
                </c:pt>
                <c:pt idx="7">
                  <c:v>19148904.187199995</c:v>
                </c:pt>
                <c:pt idx="8">
                  <c:v>19935808.587199993</c:v>
                </c:pt>
                <c:pt idx="9">
                  <c:v>20728156.987199992</c:v>
                </c:pt>
                <c:pt idx="10">
                  <c:v>21531129.38719999</c:v>
                </c:pt>
                <c:pt idx="11">
                  <c:v>22338154.987199992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'2028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'2028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'2028 Sales Summary'!$F$44:$J$44</c:f>
              <c:numCache>
                <c:formatCode>#,##0</c:formatCode>
                <c:ptCount val="5"/>
                <c:pt idx="0">
                  <c:v>4830841</c:v>
                </c:pt>
                <c:pt idx="1">
                  <c:v>6860174.7340000002</c:v>
                </c:pt>
                <c:pt idx="2">
                  <c:v>7601190</c:v>
                </c:pt>
                <c:pt idx="3">
                  <c:v>11288870</c:v>
                </c:pt>
                <c:pt idx="4">
                  <c:v>12737175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2-4F67-98BE-68EDC9B01A42}"/>
            </c:ext>
          </c:extLst>
        </c:ser>
        <c:ser>
          <c:idx val="1"/>
          <c:order val="1"/>
          <c:tx>
            <c:strRef>
              <c:f>'2028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'2028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'2028 Sales Summary'!$F$53:$J$53</c:f>
              <c:numCache>
                <c:formatCode>#,##0</c:formatCode>
                <c:ptCount val="5"/>
                <c:pt idx="0">
                  <c:v>4579741</c:v>
                </c:pt>
                <c:pt idx="1">
                  <c:v>6609074.7340000002</c:v>
                </c:pt>
                <c:pt idx="2">
                  <c:v>7578090</c:v>
                </c:pt>
                <c:pt idx="3">
                  <c:v>7578090</c:v>
                </c:pt>
                <c:pt idx="4">
                  <c:v>11855325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2-4F67-98BE-68EDC9B0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'2028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'2028 Sales Summary'!$F$54:$J$54</c:f>
              <c:numCache>
                <c:formatCode>0%</c:formatCode>
                <c:ptCount val="5"/>
                <c:pt idx="0">
                  <c:v>0.94802147286569771</c:v>
                </c:pt>
                <c:pt idx="1">
                  <c:v>0.94802147286569771</c:v>
                </c:pt>
                <c:pt idx="2">
                  <c:v>0.94802147286569771</c:v>
                </c:pt>
                <c:pt idx="3">
                  <c:v>0.67128862321915306</c:v>
                </c:pt>
                <c:pt idx="4">
                  <c:v>0.93076565250928878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12-4F67-98BE-68EDC9B0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'2028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'2028 Sales Summary'!$F$51:$J$51</c:f>
              <c:numCache>
                <c:formatCode>#,##0</c:formatCode>
                <c:ptCount val="5"/>
                <c:pt idx="0">
                  <c:v>75.841717829255813</c:v>
                </c:pt>
                <c:pt idx="1">
                  <c:v>75.841717829255813</c:v>
                </c:pt>
                <c:pt idx="2">
                  <c:v>75.841717829255813</c:v>
                </c:pt>
                <c:pt idx="3">
                  <c:v>74.168769770579345</c:v>
                </c:pt>
                <c:pt idx="4">
                  <c:v>74.461252200743104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6-4324-B3D8-DA3A42E1550F}"/>
            </c:ext>
          </c:extLst>
        </c:ser>
        <c:ser>
          <c:idx val="1"/>
          <c:order val="1"/>
          <c:tx>
            <c:strRef>
              <c:f>'2028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'2028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'2028 Sales Summary'!$F$58:$J$58</c:f>
              <c:numCache>
                <c:formatCode>#,##0</c:formatCode>
                <c:ptCount val="5"/>
                <c:pt idx="0">
                  <c:v>4579741</c:v>
                </c:pt>
                <c:pt idx="1">
                  <c:v>6609074.7340000002</c:v>
                </c:pt>
                <c:pt idx="2">
                  <c:v>7578090</c:v>
                </c:pt>
                <c:pt idx="3">
                  <c:v>10466020</c:v>
                </c:pt>
                <c:pt idx="4">
                  <c:v>11855325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6-4324-B3D8-DA3A42E1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'2028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'2028 Sales Summary'!$F$63:$J$63</c:f>
              <c:numCache>
                <c:formatCode>#,##0</c:formatCode>
                <c:ptCount val="5"/>
                <c:pt idx="0">
                  <c:v>3958500.8</c:v>
                </c:pt>
                <c:pt idx="1">
                  <c:v>5579235.7871999992</c:v>
                </c:pt>
                <c:pt idx="2">
                  <c:v>6849797</c:v>
                </c:pt>
                <c:pt idx="3">
                  <c:v>9466431</c:v>
                </c:pt>
                <c:pt idx="4">
                  <c:v>10577630.000000002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16-4324-B3D8-DA3A42E1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'2028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'2028 Sales Summary'!$F$60:$J$60</c:f>
              <c:numCache>
                <c:formatCode>#,##0</c:formatCode>
                <c:ptCount val="5"/>
                <c:pt idx="0">
                  <c:v>3663792.8</c:v>
                </c:pt>
                <c:pt idx="1">
                  <c:v>5287259.7871999992</c:v>
                </c:pt>
                <c:pt idx="2">
                  <c:v>6062472</c:v>
                </c:pt>
                <c:pt idx="3">
                  <c:v>8372816.0000000009</c:v>
                </c:pt>
                <c:pt idx="4">
                  <c:v>9484260.0000000019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5-4018-92F0-6F6DC94B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'2028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'2028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'2028 Sales Summary'!$F$62:$J$62</c:f>
              <c:numCache>
                <c:formatCode>#,##0</c:formatCode>
                <c:ptCount val="5"/>
                <c:pt idx="0">
                  <c:v>3783324.8</c:v>
                </c:pt>
                <c:pt idx="1">
                  <c:v>5404059.7871999992</c:v>
                </c:pt>
                <c:pt idx="2">
                  <c:v>6182621</c:v>
                </c:pt>
                <c:pt idx="3">
                  <c:v>8493353</c:v>
                </c:pt>
                <c:pt idx="4">
                  <c:v>9604552.0000000019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5-4018-92F0-6F6DC94B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2024'!$E$43:$I$43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2024'!$E$44:$I$44</c:f>
              <c:numCache>
                <c:formatCode>#,##0</c:formatCode>
                <c:ptCount val="5"/>
                <c:pt idx="0">
                  <c:v>449900</c:v>
                </c:pt>
                <c:pt idx="1">
                  <c:v>586218.73300000001</c:v>
                </c:pt>
                <c:pt idx="2">
                  <c:v>661710</c:v>
                </c:pt>
                <c:pt idx="3">
                  <c:v>994995</c:v>
                </c:pt>
                <c:pt idx="4">
                  <c:v>1118310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1F-41C1-A1F0-01419F3AB6B7}"/>
            </c:ext>
          </c:extLst>
        </c:ser>
        <c:ser>
          <c:idx val="1"/>
          <c:order val="1"/>
          <c:tx>
            <c:strRef>
              <c:f>'Statements Summary 2024'!$B$56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2024'!$E$43:$I$43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2024'!$E$56:$I$56</c:f>
              <c:numCache>
                <c:formatCode>#,##0</c:formatCode>
                <c:ptCount val="5"/>
                <c:pt idx="0">
                  <c:v>428975</c:v>
                </c:pt>
                <c:pt idx="1">
                  <c:v>565293.73300000001</c:v>
                </c:pt>
                <c:pt idx="2">
                  <c:v>659785</c:v>
                </c:pt>
                <c:pt idx="3">
                  <c:v>936722</c:v>
                </c:pt>
                <c:pt idx="4">
                  <c:v>1054137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F-41C1-A1F0-01419F3AB6B7}"/>
            </c:ext>
          </c:extLst>
        </c:ser>
        <c:ser>
          <c:idx val="2"/>
          <c:order val="2"/>
          <c:tx>
            <c:strRef>
              <c:f>'Statements Summary 2024'!$B$63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2024'!$E$43:$I$43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2024'!$E$63:$I$63</c:f>
              <c:numCache>
                <c:formatCode>#,##0</c:formatCode>
                <c:ptCount val="5"/>
                <c:pt idx="0">
                  <c:v>343180</c:v>
                </c:pt>
                <c:pt idx="1">
                  <c:v>452234.98639999999</c:v>
                </c:pt>
                <c:pt idx="2">
                  <c:v>527828</c:v>
                </c:pt>
                <c:pt idx="3">
                  <c:v>749377.6</c:v>
                </c:pt>
                <c:pt idx="4">
                  <c:v>843309.6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F-41C1-A1F0-01419F3AB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2028'!$B$45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2028'!$E$44:$I$44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2028'!$E$45:$I$45</c:f>
              <c:numCache>
                <c:formatCode>#,##0</c:formatCode>
                <c:ptCount val="5"/>
                <c:pt idx="0">
                  <c:v>449900</c:v>
                </c:pt>
                <c:pt idx="1">
                  <c:v>586218.73300000001</c:v>
                </c:pt>
                <c:pt idx="2">
                  <c:v>661710</c:v>
                </c:pt>
                <c:pt idx="3">
                  <c:v>994995</c:v>
                </c:pt>
                <c:pt idx="4">
                  <c:v>1118310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4-4AED-9C1A-D21D9E19807A}"/>
            </c:ext>
          </c:extLst>
        </c:ser>
        <c:ser>
          <c:idx val="1"/>
          <c:order val="1"/>
          <c:tx>
            <c:strRef>
              <c:f>'Statements Summary 2028'!$B$57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2028'!$E$44:$I$44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2028'!$E$57:$I$57</c:f>
              <c:numCache>
                <c:formatCode>#,##0</c:formatCode>
                <c:ptCount val="5"/>
                <c:pt idx="0">
                  <c:v>428975</c:v>
                </c:pt>
                <c:pt idx="1">
                  <c:v>565293.73300000001</c:v>
                </c:pt>
                <c:pt idx="2">
                  <c:v>659785</c:v>
                </c:pt>
                <c:pt idx="3">
                  <c:v>936722</c:v>
                </c:pt>
                <c:pt idx="4">
                  <c:v>1054137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4-4AED-9C1A-D21D9E19807A}"/>
            </c:ext>
          </c:extLst>
        </c:ser>
        <c:ser>
          <c:idx val="2"/>
          <c:order val="2"/>
          <c:tx>
            <c:strRef>
              <c:f>'Statements Summary 2028'!$B$64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2028'!$E$44:$I$44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2028'!$E$64:$I$64</c:f>
              <c:numCache>
                <c:formatCode>#,##0</c:formatCode>
                <c:ptCount val="5"/>
                <c:pt idx="0">
                  <c:v>343180</c:v>
                </c:pt>
                <c:pt idx="1">
                  <c:v>452234.98639999999</c:v>
                </c:pt>
                <c:pt idx="2">
                  <c:v>527828</c:v>
                </c:pt>
                <c:pt idx="3">
                  <c:v>749377.6</c:v>
                </c:pt>
                <c:pt idx="4">
                  <c:v>843309.6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4-4AED-9C1A-D21D9E198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2028'!$B$45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2028'!$K$44:$V$44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2028'!$K$45:$V$45</c:f>
              <c:numCache>
                <c:formatCode>#,##0</c:formatCode>
                <c:ptCount val="12"/>
                <c:pt idx="0">
                  <c:v>1000660</c:v>
                </c:pt>
                <c:pt idx="1">
                  <c:v>1007175</c:v>
                </c:pt>
                <c:pt idx="2">
                  <c:v>1032005</c:v>
                </c:pt>
                <c:pt idx="3">
                  <c:v>1037815</c:v>
                </c:pt>
                <c:pt idx="4">
                  <c:v>1044330</c:v>
                </c:pt>
                <c:pt idx="5">
                  <c:v>1049995</c:v>
                </c:pt>
                <c:pt idx="6">
                  <c:v>1066255</c:v>
                </c:pt>
                <c:pt idx="7">
                  <c:v>1072390</c:v>
                </c:pt>
                <c:pt idx="8">
                  <c:v>1096105</c:v>
                </c:pt>
                <c:pt idx="9">
                  <c:v>1102620</c:v>
                </c:pt>
                <c:pt idx="10">
                  <c:v>1109515</c:v>
                </c:pt>
                <c:pt idx="11">
                  <c:v>1118310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7-4E6A-963A-750F60867B32}"/>
            </c:ext>
          </c:extLst>
        </c:ser>
        <c:ser>
          <c:idx val="1"/>
          <c:order val="1"/>
          <c:tx>
            <c:strRef>
              <c:f>'Statements Summary 2028'!$B$57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2028'!$K$44:$V$44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2028'!$K$57:$V$57</c:f>
              <c:numCache>
                <c:formatCode>#,##0</c:formatCode>
                <c:ptCount val="12"/>
                <c:pt idx="0">
                  <c:v>931153</c:v>
                </c:pt>
                <c:pt idx="1">
                  <c:v>937668</c:v>
                </c:pt>
                <c:pt idx="2">
                  <c:v>956598</c:v>
                </c:pt>
                <c:pt idx="3">
                  <c:v>962408</c:v>
                </c:pt>
                <c:pt idx="4">
                  <c:v>968923</c:v>
                </c:pt>
                <c:pt idx="5">
                  <c:v>974588</c:v>
                </c:pt>
                <c:pt idx="6">
                  <c:v>990848</c:v>
                </c:pt>
                <c:pt idx="7">
                  <c:v>996983</c:v>
                </c:pt>
                <c:pt idx="8">
                  <c:v>1020698</c:v>
                </c:pt>
                <c:pt idx="9">
                  <c:v>1027213</c:v>
                </c:pt>
                <c:pt idx="10">
                  <c:v>1034108</c:v>
                </c:pt>
                <c:pt idx="11">
                  <c:v>1054137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7-4E6A-963A-750F60867B32}"/>
            </c:ext>
          </c:extLst>
        </c:ser>
        <c:ser>
          <c:idx val="2"/>
          <c:order val="2"/>
          <c:tx>
            <c:strRef>
              <c:f>'Statements Summary 2028'!$B$64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2028'!$K$44:$V$44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2028'!$K$64:$V$64</c:f>
              <c:numCache>
                <c:formatCode>#,##0</c:formatCode>
                <c:ptCount val="12"/>
                <c:pt idx="0">
                  <c:v>744922.4</c:v>
                </c:pt>
                <c:pt idx="1">
                  <c:v>750134.4</c:v>
                </c:pt>
                <c:pt idx="2">
                  <c:v>765278.4</c:v>
                </c:pt>
                <c:pt idx="3">
                  <c:v>769926.4</c:v>
                </c:pt>
                <c:pt idx="4">
                  <c:v>775138.4</c:v>
                </c:pt>
                <c:pt idx="5">
                  <c:v>779670.4</c:v>
                </c:pt>
                <c:pt idx="6">
                  <c:v>792678.40000000002</c:v>
                </c:pt>
                <c:pt idx="7">
                  <c:v>797586.4</c:v>
                </c:pt>
                <c:pt idx="8">
                  <c:v>816558.4</c:v>
                </c:pt>
                <c:pt idx="9">
                  <c:v>821770.4</c:v>
                </c:pt>
                <c:pt idx="10">
                  <c:v>827286.4</c:v>
                </c:pt>
                <c:pt idx="11">
                  <c:v>843309.6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97-4E6A-963A-750F60867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2024'!$E$8:$I$8</c:f>
              <c:numCache>
                <c:formatCode>#,##0</c:formatCode>
                <c:ptCount val="5"/>
                <c:pt idx="0">
                  <c:v>290479.59999999998</c:v>
                </c:pt>
                <c:pt idx="1">
                  <c:v>439897.78639999998</c:v>
                </c:pt>
                <c:pt idx="2">
                  <c:v>529128</c:v>
                </c:pt>
                <c:pt idx="3">
                  <c:v>807025.6</c:v>
                </c:pt>
                <c:pt idx="4">
                  <c:v>906857.6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2-43AA-AF24-381DF7D0E6F4}"/>
            </c:ext>
          </c:extLst>
        </c:ser>
        <c:ser>
          <c:idx val="1"/>
          <c:order val="1"/>
          <c:tx>
            <c:strRef>
              <c:f>'Statements Summary 2024'!$B$11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2-43AA-AF24-381DF7D0E6F4}"/>
            </c:ext>
          </c:extLst>
        </c:ser>
        <c:ser>
          <c:idx val="2"/>
          <c:order val="2"/>
          <c:tx>
            <c:strRef>
              <c:f>'Statements Summary 2024'!$B$15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2024'!$B$16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2024'!$E$16:$I$16</c:f>
              <c:numCache>
                <c:formatCode>#,##0</c:formatCode>
                <c:ptCount val="5"/>
                <c:pt idx="0">
                  <c:v>290479.59999999998</c:v>
                </c:pt>
                <c:pt idx="1">
                  <c:v>439897.78639999998</c:v>
                </c:pt>
                <c:pt idx="2">
                  <c:v>529128</c:v>
                </c:pt>
                <c:pt idx="3">
                  <c:v>807025.6</c:v>
                </c:pt>
                <c:pt idx="4">
                  <c:v>906857.6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A2-43AA-AF24-381DF7D0E6F4}"/>
            </c:ext>
          </c:extLst>
        </c:ser>
        <c:ser>
          <c:idx val="4"/>
          <c:order val="4"/>
          <c:tx>
            <c:strRef>
              <c:f>'Statements Summary 2024'!$B$17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2024'!$E$17:$I$17</c:f>
              <c:numCache>
                <c:formatCode>#,##0</c:formatCode>
                <c:ptCount val="5"/>
                <c:pt idx="0">
                  <c:v>564141.19999999995</c:v>
                </c:pt>
                <c:pt idx="1">
                  <c:v>862977.57279999997</c:v>
                </c:pt>
                <c:pt idx="2">
                  <c:v>1058256</c:v>
                </c:pt>
                <c:pt idx="3">
                  <c:v>1614051.2000000002</c:v>
                </c:pt>
                <c:pt idx="4">
                  <c:v>1813715.2000000002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2028'!$B$8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2028'!$K$8:$V$8</c:f>
              <c:numCache>
                <c:formatCode>#,##0</c:formatCode>
                <c:ptCount val="12"/>
                <c:pt idx="0">
                  <c:v>813804.4</c:v>
                </c:pt>
                <c:pt idx="1">
                  <c:v>819016.4</c:v>
                </c:pt>
                <c:pt idx="2">
                  <c:v>840060.4</c:v>
                </c:pt>
                <c:pt idx="3">
                  <c:v>844708.4</c:v>
                </c:pt>
                <c:pt idx="4">
                  <c:v>849920.4</c:v>
                </c:pt>
                <c:pt idx="5">
                  <c:v>854452.4</c:v>
                </c:pt>
                <c:pt idx="6">
                  <c:v>867460.4</c:v>
                </c:pt>
                <c:pt idx="7">
                  <c:v>872368.4</c:v>
                </c:pt>
                <c:pt idx="8">
                  <c:v>891340.4</c:v>
                </c:pt>
                <c:pt idx="9">
                  <c:v>896552.4</c:v>
                </c:pt>
                <c:pt idx="10">
                  <c:v>902068.4</c:v>
                </c:pt>
                <c:pt idx="11">
                  <c:v>906857.6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C-4EB5-870E-A2CCEFAD287F}"/>
            </c:ext>
          </c:extLst>
        </c:ser>
        <c:ser>
          <c:idx val="1"/>
          <c:order val="1"/>
          <c:tx>
            <c:strRef>
              <c:f>'Statements Summary 2028'!$B$11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2028'!$K$11:$V$11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C-4EB5-870E-A2CCEFAD287F}"/>
            </c:ext>
          </c:extLst>
        </c:ser>
        <c:ser>
          <c:idx val="2"/>
          <c:order val="2"/>
          <c:tx>
            <c:strRef>
              <c:f>'Statements Summary 2028'!$B$15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2028'!$K$15:$V$15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2028'!$B$16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2028'!$K$16:$V$16</c:f>
              <c:numCache>
                <c:formatCode>#,##0</c:formatCode>
                <c:ptCount val="12"/>
                <c:pt idx="0">
                  <c:v>813804.4</c:v>
                </c:pt>
                <c:pt idx="1">
                  <c:v>819016.4</c:v>
                </c:pt>
                <c:pt idx="2">
                  <c:v>840060.4</c:v>
                </c:pt>
                <c:pt idx="3">
                  <c:v>844708.4</c:v>
                </c:pt>
                <c:pt idx="4">
                  <c:v>849920.4</c:v>
                </c:pt>
                <c:pt idx="5">
                  <c:v>854452.4</c:v>
                </c:pt>
                <c:pt idx="6">
                  <c:v>867460.4</c:v>
                </c:pt>
                <c:pt idx="7">
                  <c:v>872368.4</c:v>
                </c:pt>
                <c:pt idx="8">
                  <c:v>891340.4</c:v>
                </c:pt>
                <c:pt idx="9">
                  <c:v>896552.4</c:v>
                </c:pt>
                <c:pt idx="10">
                  <c:v>902068.4</c:v>
                </c:pt>
                <c:pt idx="11">
                  <c:v>906857.6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9C-4EB5-870E-A2CCEFAD287F}"/>
            </c:ext>
          </c:extLst>
        </c:ser>
        <c:ser>
          <c:idx val="4"/>
          <c:order val="4"/>
          <c:tx>
            <c:strRef>
              <c:f>'Statements Summary 2028'!$B$17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2028'!$K$17:$V$17</c:f>
              <c:numCache>
                <c:formatCode>#,##0</c:formatCode>
                <c:ptCount val="12"/>
                <c:pt idx="0">
                  <c:v>1627608.7999999998</c:v>
                </c:pt>
                <c:pt idx="1">
                  <c:v>1638032.7999999998</c:v>
                </c:pt>
                <c:pt idx="2">
                  <c:v>1680120.7999999998</c:v>
                </c:pt>
                <c:pt idx="3">
                  <c:v>1689416.7999999998</c:v>
                </c:pt>
                <c:pt idx="4">
                  <c:v>1699840.7999999998</c:v>
                </c:pt>
                <c:pt idx="5">
                  <c:v>1708904.7999999998</c:v>
                </c:pt>
                <c:pt idx="6">
                  <c:v>1734920.7999999998</c:v>
                </c:pt>
                <c:pt idx="7">
                  <c:v>1744736.7999999998</c:v>
                </c:pt>
                <c:pt idx="8">
                  <c:v>1782680.7999999998</c:v>
                </c:pt>
                <c:pt idx="9">
                  <c:v>1793104.7999999998</c:v>
                </c:pt>
                <c:pt idx="10">
                  <c:v>1804136.7999999998</c:v>
                </c:pt>
                <c:pt idx="11">
                  <c:v>1813715.2000000002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2024'!$E$85:$I$85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2024'!$E$86:$I$86</c:f>
              <c:numCache>
                <c:formatCode>#,##0</c:formatCode>
                <c:ptCount val="5"/>
                <c:pt idx="0">
                  <c:v>2624392.4</c:v>
                </c:pt>
                <c:pt idx="1">
                  <c:v>7339792.1871999996</c:v>
                </c:pt>
                <c:pt idx="2">
                  <c:v>13149988.987199999</c:v>
                </c:pt>
                <c:pt idx="3">
                  <c:v>22338154.987199992</c:v>
                </c:pt>
                <c:pt idx="4">
                  <c:v>32696764.987199977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1-40FE-B8A8-A6508339DDC5}"/>
            </c:ext>
          </c:extLst>
        </c:ser>
        <c:ser>
          <c:idx val="2"/>
          <c:order val="2"/>
          <c:tx>
            <c:strRef>
              <c:f>'Statements Summary 2024'!$B$89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2024'!$E$85:$I$85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2024'!$E$89:$I$89</c:f>
              <c:numCache>
                <c:formatCode>#,##0</c:formatCode>
                <c:ptCount val="5"/>
                <c:pt idx="0">
                  <c:v>-85795</c:v>
                </c:pt>
                <c:pt idx="1">
                  <c:v>-113058.74660000001</c:v>
                </c:pt>
                <c:pt idx="2">
                  <c:v>-131957</c:v>
                </c:pt>
                <c:pt idx="3">
                  <c:v>-187344.40000000002</c:v>
                </c:pt>
                <c:pt idx="4">
                  <c:v>-210827.40000000002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2024'!$B$88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2024'!$E$88:$I$88</c:f>
              <c:numCache>
                <c:formatCode>#,##0</c:formatCode>
                <c:ptCount val="5"/>
                <c:pt idx="0">
                  <c:v>3094924.4</c:v>
                </c:pt>
                <c:pt idx="1">
                  <c:v>7828124.1871999996</c:v>
                </c:pt>
                <c:pt idx="2">
                  <c:v>13659469.987199999</c:v>
                </c:pt>
                <c:pt idx="3">
                  <c:v>22869172.987199992</c:v>
                </c:pt>
                <c:pt idx="4">
                  <c:v>33249164.987199977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B1-40FE-B8A8-A6508339DDC5}"/>
            </c:ext>
          </c:extLst>
        </c:ser>
        <c:ser>
          <c:idx val="3"/>
          <c:order val="3"/>
          <c:tx>
            <c:strRef>
              <c:f>'Statements Summary 2024'!$B$92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2024'!$E$92:$I$92</c:f>
              <c:numCache>
                <c:formatCode>#,##0</c:formatCode>
                <c:ptCount val="5"/>
                <c:pt idx="0">
                  <c:v>2644127.4</c:v>
                </c:pt>
                <c:pt idx="1">
                  <c:v>7551879.4405999994</c:v>
                </c:pt>
                <c:pt idx="2">
                  <c:v>13527512.987199999</c:v>
                </c:pt>
                <c:pt idx="3">
                  <c:v>22681828.587199993</c:v>
                </c:pt>
                <c:pt idx="4">
                  <c:v>33038337.587199979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B1-40FE-B8A8-A6508339DDC5}"/>
            </c:ext>
          </c:extLst>
        </c:ser>
        <c:ser>
          <c:idx val="4"/>
          <c:order val="4"/>
          <c:tx>
            <c:strRef>
              <c:f>'Statements Summary 2024'!$B$93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2024'!$E$93:$I$93</c:f>
              <c:numCache>
                <c:formatCode>#,##0</c:formatCode>
                <c:ptCount val="5"/>
                <c:pt idx="0">
                  <c:v>2624392.4</c:v>
                </c:pt>
                <c:pt idx="1">
                  <c:v>7339792.1871999996</c:v>
                </c:pt>
                <c:pt idx="2">
                  <c:v>13149988.987199999</c:v>
                </c:pt>
                <c:pt idx="3">
                  <c:v>22338154.987199992</c:v>
                </c:pt>
                <c:pt idx="4">
                  <c:v>32696764.987199977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2028'!$B$88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2025'!$K$87:$V$87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2028'!$K$88:$V$88</c:f>
              <c:numCache>
                <c:formatCode>#,##0</c:formatCode>
                <c:ptCount val="12"/>
                <c:pt idx="0">
                  <c:v>23151959.38719999</c:v>
                </c:pt>
                <c:pt idx="1">
                  <c:v>23970975.787199989</c:v>
                </c:pt>
                <c:pt idx="2">
                  <c:v>24811036.187199987</c:v>
                </c:pt>
                <c:pt idx="3">
                  <c:v>25655744.587199986</c:v>
                </c:pt>
                <c:pt idx="4">
                  <c:v>26505664.987199984</c:v>
                </c:pt>
                <c:pt idx="5">
                  <c:v>27360117.387199983</c:v>
                </c:pt>
                <c:pt idx="6">
                  <c:v>28227577.787199982</c:v>
                </c:pt>
                <c:pt idx="7">
                  <c:v>29099946.18719998</c:v>
                </c:pt>
                <c:pt idx="8">
                  <c:v>29991286.587199979</c:v>
                </c:pt>
                <c:pt idx="9">
                  <c:v>30887838.987199977</c:v>
                </c:pt>
                <c:pt idx="10">
                  <c:v>31789907.387199976</c:v>
                </c:pt>
                <c:pt idx="11">
                  <c:v>32696764.987199977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B-417E-A1EC-5CA047233CBB}"/>
            </c:ext>
          </c:extLst>
        </c:ser>
        <c:ser>
          <c:idx val="2"/>
          <c:order val="2"/>
          <c:tx>
            <c:strRef>
              <c:f>'Statements Summary 2028'!$B$91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2025'!$K$87:$V$87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2028'!$K$91:$V$91</c:f>
              <c:numCache>
                <c:formatCode>#,##0</c:formatCode>
                <c:ptCount val="12"/>
                <c:pt idx="0">
                  <c:v>-186230.6</c:v>
                </c:pt>
                <c:pt idx="1">
                  <c:v>-187533.6</c:v>
                </c:pt>
                <c:pt idx="2">
                  <c:v>-191319.6</c:v>
                </c:pt>
                <c:pt idx="3">
                  <c:v>-192481.6</c:v>
                </c:pt>
                <c:pt idx="4">
                  <c:v>-193784.6</c:v>
                </c:pt>
                <c:pt idx="5">
                  <c:v>-194917.6</c:v>
                </c:pt>
                <c:pt idx="6">
                  <c:v>-198169.60000000001</c:v>
                </c:pt>
                <c:pt idx="7">
                  <c:v>-199396.6</c:v>
                </c:pt>
                <c:pt idx="8">
                  <c:v>-204139.6</c:v>
                </c:pt>
                <c:pt idx="9">
                  <c:v>-205442.6</c:v>
                </c:pt>
                <c:pt idx="10">
                  <c:v>-206821.6</c:v>
                </c:pt>
                <c:pt idx="11">
                  <c:v>-210827.40000000002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2028'!$B$90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2028'!$K$90:$V$90</c:f>
              <c:numCache>
                <c:formatCode>#,##0</c:formatCode>
                <c:ptCount val="12"/>
                <c:pt idx="0">
                  <c:v>23684733.38719999</c:v>
                </c:pt>
                <c:pt idx="1">
                  <c:v>24505660.787199989</c:v>
                </c:pt>
                <c:pt idx="2">
                  <c:v>25347632.187199987</c:v>
                </c:pt>
                <c:pt idx="3">
                  <c:v>26194096.587199986</c:v>
                </c:pt>
                <c:pt idx="4">
                  <c:v>27045772.987199984</c:v>
                </c:pt>
                <c:pt idx="5">
                  <c:v>27901981.387199983</c:v>
                </c:pt>
                <c:pt idx="6">
                  <c:v>28771197.787199982</c:v>
                </c:pt>
                <c:pt idx="7">
                  <c:v>29645322.18719998</c:v>
                </c:pt>
                <c:pt idx="8">
                  <c:v>30538418.587199979</c:v>
                </c:pt>
                <c:pt idx="9">
                  <c:v>31436726.987199977</c:v>
                </c:pt>
                <c:pt idx="10">
                  <c:v>32340551.387199976</c:v>
                </c:pt>
                <c:pt idx="11">
                  <c:v>33249164.987199977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2B-417E-A1EC-5CA047233CBB}"/>
            </c:ext>
          </c:extLst>
        </c:ser>
        <c:ser>
          <c:idx val="3"/>
          <c:order val="3"/>
          <c:tx>
            <c:strRef>
              <c:f>'Statements Summary 2028'!$B$94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2028'!$K$94:$V$94</c:f>
              <c:numCache>
                <c:formatCode>#,##0</c:formatCode>
                <c:ptCount val="12"/>
                <c:pt idx="0">
                  <c:v>23498502.787199989</c:v>
                </c:pt>
                <c:pt idx="1">
                  <c:v>24318127.187199987</c:v>
                </c:pt>
                <c:pt idx="2">
                  <c:v>25156312.587199986</c:v>
                </c:pt>
                <c:pt idx="3">
                  <c:v>26001614.987199984</c:v>
                </c:pt>
                <c:pt idx="4">
                  <c:v>26851988.387199983</c:v>
                </c:pt>
                <c:pt idx="5">
                  <c:v>27707063.787199982</c:v>
                </c:pt>
                <c:pt idx="6">
                  <c:v>28573028.18719998</c:v>
                </c:pt>
                <c:pt idx="7">
                  <c:v>29445925.587199979</c:v>
                </c:pt>
                <c:pt idx="8">
                  <c:v>30334278.987199977</c:v>
                </c:pt>
                <c:pt idx="9">
                  <c:v>31231284.387199976</c:v>
                </c:pt>
                <c:pt idx="10">
                  <c:v>32133729.787199974</c:v>
                </c:pt>
                <c:pt idx="11">
                  <c:v>33038337.587199979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2B-417E-A1EC-5CA047233CBB}"/>
            </c:ext>
          </c:extLst>
        </c:ser>
        <c:ser>
          <c:idx val="4"/>
          <c:order val="4"/>
          <c:tx>
            <c:strRef>
              <c:f>'Statements Summary 2028'!$B$95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2028'!$K$95:$V$95</c:f>
              <c:numCache>
                <c:formatCode>#,##0</c:formatCode>
                <c:ptCount val="12"/>
                <c:pt idx="0">
                  <c:v>23151959.38719999</c:v>
                </c:pt>
                <c:pt idx="1">
                  <c:v>23970975.787199989</c:v>
                </c:pt>
                <c:pt idx="2">
                  <c:v>24811036.187199987</c:v>
                </c:pt>
                <c:pt idx="3">
                  <c:v>25655744.587199986</c:v>
                </c:pt>
                <c:pt idx="4">
                  <c:v>26505664.987199984</c:v>
                </c:pt>
                <c:pt idx="5">
                  <c:v>27360117.387199983</c:v>
                </c:pt>
                <c:pt idx="6">
                  <c:v>28227577.787199982</c:v>
                </c:pt>
                <c:pt idx="7">
                  <c:v>29099946.18719998</c:v>
                </c:pt>
                <c:pt idx="8">
                  <c:v>29991286.587199979</c:v>
                </c:pt>
                <c:pt idx="9">
                  <c:v>30887838.987199977</c:v>
                </c:pt>
                <c:pt idx="10">
                  <c:v>31789907.387199976</c:v>
                </c:pt>
                <c:pt idx="11">
                  <c:v>32696764.987199977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2024 Services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'2024 Sales Summary'!$B$25</c:f>
              <c:strCache>
                <c:ptCount val="1"/>
                <c:pt idx="0">
                  <c:v>Work Meetings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Summary'!$F$27:$Q$27</c:f>
              <c:numCache>
                <c:formatCode>#,##0</c:formatCode>
                <c:ptCount val="12"/>
                <c:pt idx="0">
                  <c:v>30240</c:v>
                </c:pt>
                <c:pt idx="1">
                  <c:v>30240</c:v>
                </c:pt>
                <c:pt idx="2">
                  <c:v>30240</c:v>
                </c:pt>
                <c:pt idx="3">
                  <c:v>30240</c:v>
                </c:pt>
                <c:pt idx="4">
                  <c:v>34425</c:v>
                </c:pt>
                <c:pt idx="5">
                  <c:v>37395</c:v>
                </c:pt>
                <c:pt idx="6">
                  <c:v>20790</c:v>
                </c:pt>
                <c:pt idx="7">
                  <c:v>20790</c:v>
                </c:pt>
                <c:pt idx="8">
                  <c:v>20790</c:v>
                </c:pt>
                <c:pt idx="9">
                  <c:v>37395</c:v>
                </c:pt>
                <c:pt idx="10">
                  <c:v>38745</c:v>
                </c:pt>
                <c:pt idx="11">
                  <c:v>27000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1-4A0F-9E44-E5CF159A683E}"/>
            </c:ext>
          </c:extLst>
        </c:ser>
        <c:ser>
          <c:idx val="1"/>
          <c:order val="1"/>
          <c:tx>
            <c:strRef>
              <c:f>'2024 Sales Summary'!$B$28</c:f>
              <c:strCache>
                <c:ptCount val="1"/>
                <c:pt idx="0">
                  <c:v>Birthday Parties Children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Summary'!$F$30:$Q$30</c:f>
              <c:numCache>
                <c:formatCode>#,##0</c:formatCode>
                <c:ptCount val="12"/>
                <c:pt idx="0">
                  <c:v>9990</c:v>
                </c:pt>
                <c:pt idx="1">
                  <c:v>11070</c:v>
                </c:pt>
                <c:pt idx="2">
                  <c:v>9990</c:v>
                </c:pt>
                <c:pt idx="3">
                  <c:v>10260</c:v>
                </c:pt>
                <c:pt idx="4">
                  <c:v>9810</c:v>
                </c:pt>
                <c:pt idx="5">
                  <c:v>9990</c:v>
                </c:pt>
                <c:pt idx="6">
                  <c:v>9990</c:v>
                </c:pt>
                <c:pt idx="7">
                  <c:v>9360</c:v>
                </c:pt>
                <c:pt idx="8">
                  <c:v>9630</c:v>
                </c:pt>
                <c:pt idx="9">
                  <c:v>10170</c:v>
                </c:pt>
                <c:pt idx="10">
                  <c:v>10440</c:v>
                </c:pt>
                <c:pt idx="11">
                  <c:v>11160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81-4A0F-9E44-E5CF159A683E}"/>
            </c:ext>
          </c:extLst>
        </c:ser>
        <c:ser>
          <c:idx val="2"/>
          <c:order val="2"/>
          <c:tx>
            <c:strRef>
              <c:f>'2024 Sales Summary'!$B$31</c:f>
              <c:strCache>
                <c:ptCount val="1"/>
                <c:pt idx="0">
                  <c:v>Birthday Parties Adults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'2024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Summary'!$F$33:$Q$33</c:f>
              <c:numCache>
                <c:formatCode>#,##0</c:formatCode>
                <c:ptCount val="12"/>
                <c:pt idx="0">
                  <c:v>18700</c:v>
                </c:pt>
                <c:pt idx="1">
                  <c:v>19030</c:v>
                </c:pt>
                <c:pt idx="2">
                  <c:v>19470</c:v>
                </c:pt>
                <c:pt idx="3">
                  <c:v>19910</c:v>
                </c:pt>
                <c:pt idx="4">
                  <c:v>20900</c:v>
                </c:pt>
                <c:pt idx="5">
                  <c:v>21670</c:v>
                </c:pt>
                <c:pt idx="6">
                  <c:v>22110</c:v>
                </c:pt>
                <c:pt idx="7">
                  <c:v>22880</c:v>
                </c:pt>
                <c:pt idx="8">
                  <c:v>23540</c:v>
                </c:pt>
                <c:pt idx="9">
                  <c:v>24970</c:v>
                </c:pt>
                <c:pt idx="10">
                  <c:v>25520</c:v>
                </c:pt>
                <c:pt idx="11">
                  <c:v>27390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1-4A0F-9E44-E5CF159A683E}"/>
            </c:ext>
          </c:extLst>
        </c:ser>
        <c:ser>
          <c:idx val="3"/>
          <c:order val="3"/>
          <c:tx>
            <c:strRef>
              <c:f>'2024 Sales Summary'!$B$34</c:f>
              <c:strCache>
                <c:ptCount val="1"/>
                <c:pt idx="0">
                  <c:v>Corporate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'2024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Summary'!$F$36:$Q$36</c:f>
              <c:numCache>
                <c:formatCode>#,##0</c:formatCode>
                <c:ptCount val="12"/>
                <c:pt idx="0">
                  <c:v>80000</c:v>
                </c:pt>
                <c:pt idx="1">
                  <c:v>85000</c:v>
                </c:pt>
                <c:pt idx="2">
                  <c:v>100000</c:v>
                </c:pt>
                <c:pt idx="3">
                  <c:v>103000</c:v>
                </c:pt>
                <c:pt idx="4">
                  <c:v>102750</c:v>
                </c:pt>
                <c:pt idx="5">
                  <c:v>103000</c:v>
                </c:pt>
                <c:pt idx="6">
                  <c:v>108500</c:v>
                </c:pt>
                <c:pt idx="7">
                  <c:v>109000</c:v>
                </c:pt>
                <c:pt idx="8">
                  <c:v>112500</c:v>
                </c:pt>
                <c:pt idx="9">
                  <c:v>120000</c:v>
                </c:pt>
                <c:pt idx="10">
                  <c:v>124500</c:v>
                </c:pt>
                <c:pt idx="11">
                  <c:v>125000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81-4A0F-9E44-E5CF159A683E}"/>
            </c:ext>
          </c:extLst>
        </c:ser>
        <c:ser>
          <c:idx val="4"/>
          <c:order val="4"/>
          <c:tx>
            <c:strRef>
              <c:f>'2024 Sales Summary'!$B$37</c:f>
              <c:strCache>
                <c:ptCount val="1"/>
                <c:pt idx="0">
                  <c:v>Weddings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Summary'!$F$39:$Q$39</c:f>
              <c:numCache>
                <c:formatCode>#,##0</c:formatCode>
                <c:ptCount val="12"/>
                <c:pt idx="0">
                  <c:v>191100</c:v>
                </c:pt>
                <c:pt idx="1">
                  <c:v>285111</c:v>
                </c:pt>
                <c:pt idx="2">
                  <c:v>202150</c:v>
                </c:pt>
                <c:pt idx="3">
                  <c:v>287640</c:v>
                </c:pt>
                <c:pt idx="4">
                  <c:v>198900</c:v>
                </c:pt>
                <c:pt idx="5">
                  <c:v>220025</c:v>
                </c:pt>
                <c:pt idx="6">
                  <c:v>209625</c:v>
                </c:pt>
                <c:pt idx="7">
                  <c:v>228475</c:v>
                </c:pt>
                <c:pt idx="8">
                  <c:v>230750</c:v>
                </c:pt>
                <c:pt idx="9">
                  <c:v>248950</c:v>
                </c:pt>
                <c:pt idx="10">
                  <c:v>249275</c:v>
                </c:pt>
                <c:pt idx="11">
                  <c:v>259350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81-4A0F-9E44-E5CF159A6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4989663"/>
        <c:axId val="1714978143"/>
      </c:barChart>
      <c:catAx>
        <c:axId val="1714989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78143"/>
        <c:crosses val="autoZero"/>
        <c:auto val="1"/>
        <c:lblAlgn val="ctr"/>
        <c:lblOffset val="100"/>
        <c:noMultiLvlLbl val="0"/>
      </c:catAx>
      <c:valAx>
        <c:axId val="171497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96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/>
              <a:t>2025 Services Total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'2025 Sales Summary'!$B$25</c:f>
              <c:strCache>
                <c:ptCount val="1"/>
                <c:pt idx="0">
                  <c:v>Work Meetings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'2025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Summary'!$G$27:$R$27</c:f>
              <c:numCache>
                <c:formatCode>#,##0</c:formatCode>
                <c:ptCount val="12"/>
                <c:pt idx="0">
                  <c:v>16779.636000000002</c:v>
                </c:pt>
                <c:pt idx="1">
                  <c:v>17016.803999999996</c:v>
                </c:pt>
                <c:pt idx="2">
                  <c:v>17253.971999999998</c:v>
                </c:pt>
                <c:pt idx="3">
                  <c:v>17491.14</c:v>
                </c:pt>
                <c:pt idx="4">
                  <c:v>17372.556000000004</c:v>
                </c:pt>
                <c:pt idx="5">
                  <c:v>17520.785999999996</c:v>
                </c:pt>
                <c:pt idx="6">
                  <c:v>18024.768000000004</c:v>
                </c:pt>
                <c:pt idx="7">
                  <c:v>17817.245999999996</c:v>
                </c:pt>
                <c:pt idx="8">
                  <c:v>18499.104000000003</c:v>
                </c:pt>
                <c:pt idx="9">
                  <c:v>18573.218999999997</c:v>
                </c:pt>
                <c:pt idx="10">
                  <c:v>18113.706000000002</c:v>
                </c:pt>
                <c:pt idx="11">
                  <c:v>18187.821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F-419B-AAE3-D7C7628411A1}"/>
            </c:ext>
          </c:extLst>
        </c:ser>
        <c:ser>
          <c:idx val="1"/>
          <c:order val="1"/>
          <c:tx>
            <c:strRef>
              <c:f>'2025 Sales Summary'!$B$28</c:f>
              <c:strCache>
                <c:ptCount val="1"/>
                <c:pt idx="0">
                  <c:v>Birthday Parties Children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Summary'!$G$30:$R$30</c:f>
              <c:numCache>
                <c:formatCode>#,##0</c:formatCode>
                <c:ptCount val="12"/>
                <c:pt idx="0">
                  <c:v>11780</c:v>
                </c:pt>
                <c:pt idx="1">
                  <c:v>11970</c:v>
                </c:pt>
                <c:pt idx="2">
                  <c:v>12160</c:v>
                </c:pt>
                <c:pt idx="3">
                  <c:v>12350</c:v>
                </c:pt>
                <c:pt idx="4">
                  <c:v>12255</c:v>
                </c:pt>
                <c:pt idx="5">
                  <c:v>12350</c:v>
                </c:pt>
                <c:pt idx="6">
                  <c:v>12730</c:v>
                </c:pt>
                <c:pt idx="7">
                  <c:v>12540</c:v>
                </c:pt>
                <c:pt idx="8">
                  <c:v>13015</c:v>
                </c:pt>
                <c:pt idx="9">
                  <c:v>13110</c:v>
                </c:pt>
                <c:pt idx="10">
                  <c:v>12730</c:v>
                </c:pt>
                <c:pt idx="11">
                  <c:v>12825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F-419B-AAE3-D7C7628411A1}"/>
            </c:ext>
          </c:extLst>
        </c:ser>
        <c:ser>
          <c:idx val="2"/>
          <c:order val="2"/>
          <c:tx>
            <c:strRef>
              <c:f>'2025 Sales Summary'!$B$31</c:f>
              <c:strCache>
                <c:ptCount val="1"/>
                <c:pt idx="0">
                  <c:v>Birthday Parties Adults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'2025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Summary'!$G$33:$R$33</c:f>
              <c:numCache>
                <c:formatCode>#,##0</c:formatCode>
                <c:ptCount val="12"/>
                <c:pt idx="0">
                  <c:v>28635</c:v>
                </c:pt>
                <c:pt idx="1">
                  <c:v>28980</c:v>
                </c:pt>
                <c:pt idx="2">
                  <c:v>29440</c:v>
                </c:pt>
                <c:pt idx="3">
                  <c:v>29785</c:v>
                </c:pt>
                <c:pt idx="4">
                  <c:v>29555</c:v>
                </c:pt>
                <c:pt idx="5">
                  <c:v>29900</c:v>
                </c:pt>
                <c:pt idx="6">
                  <c:v>30705</c:v>
                </c:pt>
                <c:pt idx="7">
                  <c:v>30360</c:v>
                </c:pt>
                <c:pt idx="8">
                  <c:v>31510</c:v>
                </c:pt>
                <c:pt idx="9">
                  <c:v>31625</c:v>
                </c:pt>
                <c:pt idx="10">
                  <c:v>30820</c:v>
                </c:pt>
                <c:pt idx="11">
                  <c:v>30935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F-419B-AAE3-D7C7628411A1}"/>
            </c:ext>
          </c:extLst>
        </c:ser>
        <c:ser>
          <c:idx val="3"/>
          <c:order val="3"/>
          <c:tx>
            <c:strRef>
              <c:f>'2025 Sales Summary'!$B$34</c:f>
              <c:strCache>
                <c:ptCount val="1"/>
                <c:pt idx="0">
                  <c:v>Corporate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'2025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Summary'!$G$36:$R$36</c:f>
              <c:numCache>
                <c:formatCode>#,##0</c:formatCode>
                <c:ptCount val="12"/>
                <c:pt idx="0">
                  <c:v>150800</c:v>
                </c:pt>
                <c:pt idx="1">
                  <c:v>152880</c:v>
                </c:pt>
                <c:pt idx="2">
                  <c:v>152880</c:v>
                </c:pt>
                <c:pt idx="3">
                  <c:v>152880</c:v>
                </c:pt>
                <c:pt idx="4">
                  <c:v>153400</c:v>
                </c:pt>
                <c:pt idx="5">
                  <c:v>153400</c:v>
                </c:pt>
                <c:pt idx="6">
                  <c:v>153400</c:v>
                </c:pt>
                <c:pt idx="7">
                  <c:v>155480</c:v>
                </c:pt>
                <c:pt idx="8">
                  <c:v>155740</c:v>
                </c:pt>
                <c:pt idx="9">
                  <c:v>156000</c:v>
                </c:pt>
                <c:pt idx="10">
                  <c:v>156260</c:v>
                </c:pt>
                <c:pt idx="11">
                  <c:v>157820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6F-419B-AAE3-D7C7628411A1}"/>
            </c:ext>
          </c:extLst>
        </c:ser>
        <c:ser>
          <c:idx val="4"/>
          <c:order val="4"/>
          <c:tx>
            <c:strRef>
              <c:f>'2025 Sales Summary'!$B$37</c:f>
              <c:strCache>
                <c:ptCount val="1"/>
                <c:pt idx="0">
                  <c:v>Weddings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'2025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Summary'!$G$39:$R$39</c:f>
              <c:numCache>
                <c:formatCode>#,##0</c:formatCode>
                <c:ptCount val="12"/>
                <c:pt idx="0">
                  <c:v>338078.59200000006</c:v>
                </c:pt>
                <c:pt idx="1">
                  <c:v>342857.08799999993</c:v>
                </c:pt>
                <c:pt idx="2">
                  <c:v>347635.58399999997</c:v>
                </c:pt>
                <c:pt idx="3">
                  <c:v>352414.07999999996</c:v>
                </c:pt>
                <c:pt idx="4">
                  <c:v>350024.83200000005</c:v>
                </c:pt>
                <c:pt idx="5">
                  <c:v>353011.39199999993</c:v>
                </c:pt>
                <c:pt idx="6">
                  <c:v>363165.69600000005</c:v>
                </c:pt>
                <c:pt idx="7">
                  <c:v>358984.51199999993</c:v>
                </c:pt>
                <c:pt idx="8">
                  <c:v>372722.68800000002</c:v>
                </c:pt>
                <c:pt idx="9">
                  <c:v>374215.96799999999</c:v>
                </c:pt>
                <c:pt idx="10">
                  <c:v>364957.63199999998</c:v>
                </c:pt>
                <c:pt idx="11">
                  <c:v>366450.91200000001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6F-419B-AAE3-D7C76284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4988703"/>
        <c:axId val="1714989183"/>
      </c:barChart>
      <c:catAx>
        <c:axId val="1714988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9183"/>
        <c:crosses val="autoZero"/>
        <c:auto val="1"/>
        <c:lblAlgn val="ctr"/>
        <c:lblOffset val="100"/>
        <c:noMultiLvlLbl val="0"/>
      </c:catAx>
      <c:valAx>
        <c:axId val="171498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870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/>
              <a:t>2026 Services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'2026 Sales Summary'!$B$25</c:f>
              <c:strCache>
                <c:ptCount val="1"/>
                <c:pt idx="0">
                  <c:v>Work Meetings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Summary'!$F$27:$Q$27</c:f>
              <c:numCache>
                <c:formatCode>#,##0</c:formatCode>
                <c:ptCount val="12"/>
                <c:pt idx="0">
                  <c:v>18225</c:v>
                </c:pt>
                <c:pt idx="1">
                  <c:v>18495</c:v>
                </c:pt>
                <c:pt idx="2">
                  <c:v>17280</c:v>
                </c:pt>
                <c:pt idx="3">
                  <c:v>17685</c:v>
                </c:pt>
                <c:pt idx="4">
                  <c:v>17550</c:v>
                </c:pt>
                <c:pt idx="5">
                  <c:v>17685</c:v>
                </c:pt>
                <c:pt idx="6">
                  <c:v>18225</c:v>
                </c:pt>
                <c:pt idx="7">
                  <c:v>17955</c:v>
                </c:pt>
                <c:pt idx="8">
                  <c:v>18630</c:v>
                </c:pt>
                <c:pt idx="9">
                  <c:v>18765</c:v>
                </c:pt>
                <c:pt idx="10">
                  <c:v>18495</c:v>
                </c:pt>
                <c:pt idx="11">
                  <c:v>18900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8-4A5F-8DEB-9E7EF193B6AD}"/>
            </c:ext>
          </c:extLst>
        </c:ser>
        <c:ser>
          <c:idx val="1"/>
          <c:order val="1"/>
          <c:tx>
            <c:strRef>
              <c:f>'2026 Sales Summary'!$B$28</c:f>
              <c:strCache>
                <c:ptCount val="1"/>
                <c:pt idx="0">
                  <c:v>Birthday Parties Children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Summary'!$F$30:$Q$30</c:f>
              <c:numCache>
                <c:formatCode>#,##0</c:formatCode>
                <c:ptCount val="12"/>
                <c:pt idx="0">
                  <c:v>12825</c:v>
                </c:pt>
                <c:pt idx="1">
                  <c:v>13015</c:v>
                </c:pt>
                <c:pt idx="2">
                  <c:v>12160</c:v>
                </c:pt>
                <c:pt idx="3">
                  <c:v>12445</c:v>
                </c:pt>
                <c:pt idx="4">
                  <c:v>12350</c:v>
                </c:pt>
                <c:pt idx="5">
                  <c:v>12445</c:v>
                </c:pt>
                <c:pt idx="6">
                  <c:v>12825</c:v>
                </c:pt>
                <c:pt idx="7">
                  <c:v>12635</c:v>
                </c:pt>
                <c:pt idx="8">
                  <c:v>13110</c:v>
                </c:pt>
                <c:pt idx="9">
                  <c:v>13205</c:v>
                </c:pt>
                <c:pt idx="10">
                  <c:v>13015</c:v>
                </c:pt>
                <c:pt idx="11">
                  <c:v>13300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8-4A5F-8DEB-9E7EF193B6AD}"/>
            </c:ext>
          </c:extLst>
        </c:ser>
        <c:ser>
          <c:idx val="2"/>
          <c:order val="2"/>
          <c:tx>
            <c:strRef>
              <c:f>'2026 Sales Summary'!$B$31</c:f>
              <c:strCache>
                <c:ptCount val="1"/>
                <c:pt idx="0">
                  <c:v>Birthday Parties Adults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Summary'!$F$33:$Q$33</c:f>
              <c:numCache>
                <c:formatCode>#,##0</c:formatCode>
                <c:ptCount val="12"/>
                <c:pt idx="0">
                  <c:v>32520</c:v>
                </c:pt>
                <c:pt idx="1">
                  <c:v>32880</c:v>
                </c:pt>
                <c:pt idx="2">
                  <c:v>30720</c:v>
                </c:pt>
                <c:pt idx="3">
                  <c:v>31680</c:v>
                </c:pt>
                <c:pt idx="4">
                  <c:v>31320</c:v>
                </c:pt>
                <c:pt idx="5">
                  <c:v>31560</c:v>
                </c:pt>
                <c:pt idx="6">
                  <c:v>32400</c:v>
                </c:pt>
                <c:pt idx="7">
                  <c:v>31920</c:v>
                </c:pt>
                <c:pt idx="8">
                  <c:v>33240</c:v>
                </c:pt>
                <c:pt idx="9">
                  <c:v>33360</c:v>
                </c:pt>
                <c:pt idx="10">
                  <c:v>33000</c:v>
                </c:pt>
                <c:pt idx="11">
                  <c:v>33120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C8-4A5F-8DEB-9E7EF193B6AD}"/>
            </c:ext>
          </c:extLst>
        </c:ser>
        <c:ser>
          <c:idx val="3"/>
          <c:order val="3"/>
          <c:tx>
            <c:strRef>
              <c:f>'2026 Sales Summary'!$B$34</c:f>
              <c:strCache>
                <c:ptCount val="1"/>
                <c:pt idx="0">
                  <c:v>Corporate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Summary'!$F$36:$Q$36</c:f>
              <c:numCache>
                <c:formatCode>#,##0</c:formatCode>
                <c:ptCount val="12"/>
                <c:pt idx="0">
                  <c:v>167215</c:v>
                </c:pt>
                <c:pt idx="1">
                  <c:v>169335</c:v>
                </c:pt>
                <c:pt idx="2">
                  <c:v>158205</c:v>
                </c:pt>
                <c:pt idx="3">
                  <c:v>162710</c:v>
                </c:pt>
                <c:pt idx="4">
                  <c:v>159000</c:v>
                </c:pt>
                <c:pt idx="5">
                  <c:v>162710</c:v>
                </c:pt>
                <c:pt idx="6">
                  <c:v>166950</c:v>
                </c:pt>
                <c:pt idx="7">
                  <c:v>164830</c:v>
                </c:pt>
                <c:pt idx="8">
                  <c:v>171190</c:v>
                </c:pt>
                <c:pt idx="9">
                  <c:v>171720</c:v>
                </c:pt>
                <c:pt idx="10">
                  <c:v>170130</c:v>
                </c:pt>
                <c:pt idx="11">
                  <c:v>170660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8-4A5F-8DEB-9E7EF193B6AD}"/>
            </c:ext>
          </c:extLst>
        </c:ser>
        <c:ser>
          <c:idx val="4"/>
          <c:order val="4"/>
          <c:tx>
            <c:strRef>
              <c:f>'2026 Sales Summary'!$B$37</c:f>
              <c:strCache>
                <c:ptCount val="1"/>
                <c:pt idx="0">
                  <c:v>Weddings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Summary'!$F$39:$Q$39</c:f>
              <c:numCache>
                <c:formatCode>#,##0</c:formatCode>
                <c:ptCount val="12"/>
                <c:pt idx="0">
                  <c:v>373290</c:v>
                </c:pt>
                <c:pt idx="1">
                  <c:v>377775</c:v>
                </c:pt>
                <c:pt idx="2">
                  <c:v>353280</c:v>
                </c:pt>
                <c:pt idx="3">
                  <c:v>695175</c:v>
                </c:pt>
                <c:pt idx="4">
                  <c:v>359835</c:v>
                </c:pt>
                <c:pt idx="5">
                  <c:v>362250</c:v>
                </c:pt>
                <c:pt idx="6">
                  <c:v>372945</c:v>
                </c:pt>
                <c:pt idx="7">
                  <c:v>367770</c:v>
                </c:pt>
                <c:pt idx="8">
                  <c:v>381570</c:v>
                </c:pt>
                <c:pt idx="9">
                  <c:v>383295</c:v>
                </c:pt>
                <c:pt idx="10">
                  <c:v>394680</c:v>
                </c:pt>
                <c:pt idx="11">
                  <c:v>425730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C8-4A5F-8DEB-9E7EF193B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52223"/>
        <c:axId val="20444543"/>
      </c:barChart>
      <c:catAx>
        <c:axId val="20452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44543"/>
        <c:crosses val="autoZero"/>
        <c:auto val="1"/>
        <c:lblAlgn val="ctr"/>
        <c:lblOffset val="100"/>
        <c:noMultiLvlLbl val="0"/>
      </c:catAx>
      <c:valAx>
        <c:axId val="20444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222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2027 Services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'2027 Sales Summary'!$B$25</c:f>
              <c:strCache>
                <c:ptCount val="1"/>
                <c:pt idx="0">
                  <c:v>Work Meetings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Summary'!$F$27:$Q$27</c:f>
              <c:numCache>
                <c:formatCode>#,##0</c:formatCode>
                <c:ptCount val="12"/>
                <c:pt idx="0">
                  <c:v>18630</c:v>
                </c:pt>
                <c:pt idx="1">
                  <c:v>19170</c:v>
                </c:pt>
                <c:pt idx="2">
                  <c:v>19305</c:v>
                </c:pt>
                <c:pt idx="3">
                  <c:v>19440</c:v>
                </c:pt>
                <c:pt idx="4">
                  <c:v>19575</c:v>
                </c:pt>
                <c:pt idx="5">
                  <c:v>19710</c:v>
                </c:pt>
                <c:pt idx="6">
                  <c:v>19845</c:v>
                </c:pt>
                <c:pt idx="7">
                  <c:v>20250</c:v>
                </c:pt>
                <c:pt idx="8">
                  <c:v>20790</c:v>
                </c:pt>
                <c:pt idx="9">
                  <c:v>20925</c:v>
                </c:pt>
                <c:pt idx="10">
                  <c:v>20250</c:v>
                </c:pt>
                <c:pt idx="11">
                  <c:v>21060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5-42CE-B9A7-EC22AA86FD95}"/>
            </c:ext>
          </c:extLst>
        </c:ser>
        <c:ser>
          <c:idx val="1"/>
          <c:order val="1"/>
          <c:tx>
            <c:strRef>
              <c:f>'2027 Sales Summary'!$B$28</c:f>
              <c:strCache>
                <c:ptCount val="1"/>
                <c:pt idx="0">
                  <c:v>Birthday Parties Children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Summary'!$F$30:$Q$30</c:f>
              <c:numCache>
                <c:formatCode>#,##0</c:formatCode>
                <c:ptCount val="12"/>
                <c:pt idx="0">
                  <c:v>26220</c:v>
                </c:pt>
                <c:pt idx="1">
                  <c:v>26980</c:v>
                </c:pt>
                <c:pt idx="2">
                  <c:v>27170</c:v>
                </c:pt>
                <c:pt idx="3">
                  <c:v>27360</c:v>
                </c:pt>
                <c:pt idx="4">
                  <c:v>27550</c:v>
                </c:pt>
                <c:pt idx="5">
                  <c:v>27740</c:v>
                </c:pt>
                <c:pt idx="6">
                  <c:v>27930</c:v>
                </c:pt>
                <c:pt idx="7">
                  <c:v>28500</c:v>
                </c:pt>
                <c:pt idx="8">
                  <c:v>29260</c:v>
                </c:pt>
                <c:pt idx="9">
                  <c:v>29450</c:v>
                </c:pt>
                <c:pt idx="10">
                  <c:v>28500</c:v>
                </c:pt>
                <c:pt idx="11">
                  <c:v>29640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5-42CE-B9A7-EC22AA86FD95}"/>
            </c:ext>
          </c:extLst>
        </c:ser>
        <c:ser>
          <c:idx val="2"/>
          <c:order val="2"/>
          <c:tx>
            <c:strRef>
              <c:f>'2027 Sales Summary'!$B$31</c:f>
              <c:strCache>
                <c:ptCount val="1"/>
                <c:pt idx="0">
                  <c:v>Birthday Parties Adults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Summary'!$F$33:$Q$33</c:f>
              <c:numCache>
                <c:formatCode>#,##0</c:formatCode>
                <c:ptCount val="12"/>
                <c:pt idx="0">
                  <c:v>73405</c:v>
                </c:pt>
                <c:pt idx="1">
                  <c:v>74995</c:v>
                </c:pt>
                <c:pt idx="2">
                  <c:v>75525</c:v>
                </c:pt>
                <c:pt idx="3">
                  <c:v>76055</c:v>
                </c:pt>
                <c:pt idx="4">
                  <c:v>76585</c:v>
                </c:pt>
                <c:pt idx="5">
                  <c:v>77115</c:v>
                </c:pt>
                <c:pt idx="6">
                  <c:v>77645</c:v>
                </c:pt>
                <c:pt idx="7">
                  <c:v>79500</c:v>
                </c:pt>
                <c:pt idx="8">
                  <c:v>80295</c:v>
                </c:pt>
                <c:pt idx="9">
                  <c:v>80825</c:v>
                </c:pt>
                <c:pt idx="10">
                  <c:v>82150</c:v>
                </c:pt>
                <c:pt idx="11">
                  <c:v>82415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C5-42CE-B9A7-EC22AA86FD95}"/>
            </c:ext>
          </c:extLst>
        </c:ser>
        <c:ser>
          <c:idx val="3"/>
          <c:order val="3"/>
          <c:tx>
            <c:strRef>
              <c:f>'2027 Sales Summary'!$B$34</c:f>
              <c:strCache>
                <c:ptCount val="1"/>
                <c:pt idx="0">
                  <c:v>Corporate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Summary'!$F$36:$Q$36</c:f>
              <c:numCache>
                <c:formatCode>#,##0</c:formatCode>
                <c:ptCount val="12"/>
                <c:pt idx="0">
                  <c:v>245100</c:v>
                </c:pt>
                <c:pt idx="1">
                  <c:v>251180</c:v>
                </c:pt>
                <c:pt idx="2">
                  <c:v>253080</c:v>
                </c:pt>
                <c:pt idx="3">
                  <c:v>254600</c:v>
                </c:pt>
                <c:pt idx="4">
                  <c:v>256500</c:v>
                </c:pt>
                <c:pt idx="5">
                  <c:v>258020</c:v>
                </c:pt>
                <c:pt idx="6">
                  <c:v>259920</c:v>
                </c:pt>
                <c:pt idx="7">
                  <c:v>266000</c:v>
                </c:pt>
                <c:pt idx="8">
                  <c:v>267520</c:v>
                </c:pt>
                <c:pt idx="9">
                  <c:v>270180</c:v>
                </c:pt>
                <c:pt idx="10">
                  <c:v>274360</c:v>
                </c:pt>
                <c:pt idx="11">
                  <c:v>276260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C5-42CE-B9A7-EC22AA86FD95}"/>
            </c:ext>
          </c:extLst>
        </c:ser>
        <c:ser>
          <c:idx val="4"/>
          <c:order val="4"/>
          <c:tx>
            <c:strRef>
              <c:f>'2027 Sales Summary'!$B$37</c:f>
              <c:strCache>
                <c:ptCount val="1"/>
                <c:pt idx="0">
                  <c:v>Weddings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Summary'!$F$39:$Q$39</c:f>
              <c:numCache>
                <c:formatCode>#,##0</c:formatCode>
                <c:ptCount val="12"/>
                <c:pt idx="0">
                  <c:v>519820</c:v>
                </c:pt>
                <c:pt idx="1">
                  <c:v>532510</c:v>
                </c:pt>
                <c:pt idx="2">
                  <c:v>536270</c:v>
                </c:pt>
                <c:pt idx="3">
                  <c:v>540030</c:v>
                </c:pt>
                <c:pt idx="4">
                  <c:v>543320</c:v>
                </c:pt>
                <c:pt idx="5">
                  <c:v>547080</c:v>
                </c:pt>
                <c:pt idx="6">
                  <c:v>550840</c:v>
                </c:pt>
                <c:pt idx="7">
                  <c:v>565410</c:v>
                </c:pt>
                <c:pt idx="8">
                  <c:v>569170</c:v>
                </c:pt>
                <c:pt idx="9">
                  <c:v>572460</c:v>
                </c:pt>
                <c:pt idx="10">
                  <c:v>581860</c:v>
                </c:pt>
                <c:pt idx="11">
                  <c:v>585620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C5-42CE-B9A7-EC22AA86F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5423"/>
        <c:axId val="20457503"/>
      </c:barChart>
      <c:catAx>
        <c:axId val="20435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7503"/>
        <c:crosses val="autoZero"/>
        <c:auto val="1"/>
        <c:lblAlgn val="ctr"/>
        <c:lblOffset val="100"/>
        <c:noMultiLvlLbl val="0"/>
      </c:catAx>
      <c:valAx>
        <c:axId val="2045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542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2024'!$K$43:$V$43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2024'!$K$44:$V$44</c:f>
              <c:numCache>
                <c:formatCode>#,##0</c:formatCode>
                <c:ptCount val="12"/>
                <c:pt idx="0">
                  <c:v>330030</c:v>
                </c:pt>
                <c:pt idx="1">
                  <c:v>430451</c:v>
                </c:pt>
                <c:pt idx="2">
                  <c:v>361850</c:v>
                </c:pt>
                <c:pt idx="3">
                  <c:v>451050</c:v>
                </c:pt>
                <c:pt idx="4">
                  <c:v>366785</c:v>
                </c:pt>
                <c:pt idx="5">
                  <c:v>392080</c:v>
                </c:pt>
                <c:pt idx="6">
                  <c:v>371015</c:v>
                </c:pt>
                <c:pt idx="7">
                  <c:v>390505</c:v>
                </c:pt>
                <c:pt idx="8">
                  <c:v>397210</c:v>
                </c:pt>
                <c:pt idx="9">
                  <c:v>441485</c:v>
                </c:pt>
                <c:pt idx="10">
                  <c:v>448480</c:v>
                </c:pt>
                <c:pt idx="11">
                  <c:v>449900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4-4AAB-905F-61474D627CE8}"/>
            </c:ext>
          </c:extLst>
        </c:ser>
        <c:ser>
          <c:idx val="1"/>
          <c:order val="1"/>
          <c:tx>
            <c:strRef>
              <c:f>'Statements Summary 2024'!$B$56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2024'!$K$43:$V$43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2024'!$K$56:$V$56</c:f>
              <c:numCache>
                <c:formatCode>#,##0</c:formatCode>
                <c:ptCount val="12"/>
                <c:pt idx="0">
                  <c:v>309105</c:v>
                </c:pt>
                <c:pt idx="1">
                  <c:v>409526</c:v>
                </c:pt>
                <c:pt idx="2">
                  <c:v>340925</c:v>
                </c:pt>
                <c:pt idx="3">
                  <c:v>430125</c:v>
                </c:pt>
                <c:pt idx="4">
                  <c:v>345860</c:v>
                </c:pt>
                <c:pt idx="5">
                  <c:v>371155</c:v>
                </c:pt>
                <c:pt idx="6">
                  <c:v>350090</c:v>
                </c:pt>
                <c:pt idx="7">
                  <c:v>369580</c:v>
                </c:pt>
                <c:pt idx="8">
                  <c:v>376285</c:v>
                </c:pt>
                <c:pt idx="9">
                  <c:v>420560</c:v>
                </c:pt>
                <c:pt idx="10">
                  <c:v>427555</c:v>
                </c:pt>
                <c:pt idx="11">
                  <c:v>428975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4-4AAB-905F-61474D627CE8}"/>
            </c:ext>
          </c:extLst>
        </c:ser>
        <c:ser>
          <c:idx val="2"/>
          <c:order val="2"/>
          <c:tx>
            <c:strRef>
              <c:f>'Statements Summary 2024'!$B$63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2024'!$K$43:$V$43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2024'!$K$63:$V$63</c:f>
              <c:numCache>
                <c:formatCode>#,##0</c:formatCode>
                <c:ptCount val="12"/>
                <c:pt idx="0">
                  <c:v>247284</c:v>
                </c:pt>
                <c:pt idx="1">
                  <c:v>327620.8</c:v>
                </c:pt>
                <c:pt idx="2">
                  <c:v>272740</c:v>
                </c:pt>
                <c:pt idx="3">
                  <c:v>344100</c:v>
                </c:pt>
                <c:pt idx="4">
                  <c:v>276688</c:v>
                </c:pt>
                <c:pt idx="5">
                  <c:v>296924</c:v>
                </c:pt>
                <c:pt idx="6">
                  <c:v>280072</c:v>
                </c:pt>
                <c:pt idx="7">
                  <c:v>295664</c:v>
                </c:pt>
                <c:pt idx="8">
                  <c:v>301028</c:v>
                </c:pt>
                <c:pt idx="9">
                  <c:v>336448</c:v>
                </c:pt>
                <c:pt idx="10">
                  <c:v>342044</c:v>
                </c:pt>
                <c:pt idx="11">
                  <c:v>343180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34-4AAB-905F-61474D627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/>
              <a:t>2028 Services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'2028 Sales Summary'!$B$25</c:f>
              <c:strCache>
                <c:ptCount val="1"/>
                <c:pt idx="0">
                  <c:v>Work Meetings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'2028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'2028 Sales Summary'!$F$27:$Q$27</c:f>
              <c:numCache>
                <c:formatCode>#,##0</c:formatCode>
                <c:ptCount val="12"/>
                <c:pt idx="0">
                  <c:v>21195</c:v>
                </c:pt>
                <c:pt idx="1">
                  <c:v>21330</c:v>
                </c:pt>
                <c:pt idx="2">
                  <c:v>21870</c:v>
                </c:pt>
                <c:pt idx="3">
                  <c:v>21870</c:v>
                </c:pt>
                <c:pt idx="4">
                  <c:v>22005</c:v>
                </c:pt>
                <c:pt idx="5">
                  <c:v>22140</c:v>
                </c:pt>
                <c:pt idx="6">
                  <c:v>22545</c:v>
                </c:pt>
                <c:pt idx="7">
                  <c:v>22680</c:v>
                </c:pt>
                <c:pt idx="8">
                  <c:v>23220</c:v>
                </c:pt>
                <c:pt idx="9">
                  <c:v>23355</c:v>
                </c:pt>
                <c:pt idx="10">
                  <c:v>23490</c:v>
                </c:pt>
                <c:pt idx="11">
                  <c:v>23625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7-4CEA-A86D-C0E38FF0C92E}"/>
            </c:ext>
          </c:extLst>
        </c:ser>
        <c:ser>
          <c:idx val="1"/>
          <c:order val="1"/>
          <c:tx>
            <c:strRef>
              <c:f>'2028 Sales Summary'!$B$28</c:f>
              <c:strCache>
                <c:ptCount val="1"/>
                <c:pt idx="0">
                  <c:v>Birthday Parties Children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'2028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'2028 Sales Summary'!$F$30:$Q$30</c:f>
              <c:numCache>
                <c:formatCode>#,##0</c:formatCode>
                <c:ptCount val="12"/>
                <c:pt idx="0">
                  <c:v>29830</c:v>
                </c:pt>
                <c:pt idx="1">
                  <c:v>30020</c:v>
                </c:pt>
                <c:pt idx="2">
                  <c:v>30780</c:v>
                </c:pt>
                <c:pt idx="3">
                  <c:v>30780</c:v>
                </c:pt>
                <c:pt idx="4">
                  <c:v>30970</c:v>
                </c:pt>
                <c:pt idx="5">
                  <c:v>31160</c:v>
                </c:pt>
                <c:pt idx="6">
                  <c:v>31730</c:v>
                </c:pt>
                <c:pt idx="7">
                  <c:v>31920</c:v>
                </c:pt>
                <c:pt idx="8">
                  <c:v>32680</c:v>
                </c:pt>
                <c:pt idx="9">
                  <c:v>32870</c:v>
                </c:pt>
                <c:pt idx="10">
                  <c:v>33060</c:v>
                </c:pt>
                <c:pt idx="11">
                  <c:v>33250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7-4CEA-A86D-C0E38FF0C92E}"/>
            </c:ext>
          </c:extLst>
        </c:ser>
        <c:ser>
          <c:idx val="2"/>
          <c:order val="2"/>
          <c:tx>
            <c:strRef>
              <c:f>'2028 Sales Summary'!$B$31</c:f>
              <c:strCache>
                <c:ptCount val="1"/>
                <c:pt idx="0">
                  <c:v>Birthday Parties Adults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'2028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'2028 Sales Summary'!$F$33:$Q$33</c:f>
              <c:numCache>
                <c:formatCode>#,##0</c:formatCode>
                <c:ptCount val="12"/>
                <c:pt idx="0">
                  <c:v>82945</c:v>
                </c:pt>
                <c:pt idx="1">
                  <c:v>83475</c:v>
                </c:pt>
                <c:pt idx="2">
                  <c:v>85595</c:v>
                </c:pt>
                <c:pt idx="3">
                  <c:v>86125</c:v>
                </c:pt>
                <c:pt idx="4">
                  <c:v>86655</c:v>
                </c:pt>
                <c:pt idx="5">
                  <c:v>87185</c:v>
                </c:pt>
                <c:pt idx="6">
                  <c:v>88510</c:v>
                </c:pt>
                <c:pt idx="7">
                  <c:v>89040</c:v>
                </c:pt>
                <c:pt idx="8">
                  <c:v>90895</c:v>
                </c:pt>
                <c:pt idx="9">
                  <c:v>91425</c:v>
                </c:pt>
                <c:pt idx="10">
                  <c:v>91955</c:v>
                </c:pt>
                <c:pt idx="11">
                  <c:v>92485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C7-4CEA-A86D-C0E38FF0C92E}"/>
            </c:ext>
          </c:extLst>
        </c:ser>
        <c:ser>
          <c:idx val="3"/>
          <c:order val="3"/>
          <c:tx>
            <c:strRef>
              <c:f>'2028 Sales Summary'!$B$34</c:f>
              <c:strCache>
                <c:ptCount val="1"/>
                <c:pt idx="0">
                  <c:v>Corporate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'2028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'2028 Sales Summary'!$F$36:$Q$36</c:f>
              <c:numCache>
                <c:formatCode>#,##0</c:formatCode>
                <c:ptCount val="12"/>
                <c:pt idx="0">
                  <c:v>277780</c:v>
                </c:pt>
                <c:pt idx="1">
                  <c:v>279680</c:v>
                </c:pt>
                <c:pt idx="2">
                  <c:v>286520</c:v>
                </c:pt>
                <c:pt idx="3">
                  <c:v>288040</c:v>
                </c:pt>
                <c:pt idx="4">
                  <c:v>289940</c:v>
                </c:pt>
                <c:pt idx="5">
                  <c:v>291460</c:v>
                </c:pt>
                <c:pt idx="6">
                  <c:v>296020</c:v>
                </c:pt>
                <c:pt idx="7">
                  <c:v>297540</c:v>
                </c:pt>
                <c:pt idx="8">
                  <c:v>304000</c:v>
                </c:pt>
                <c:pt idx="9">
                  <c:v>305900</c:v>
                </c:pt>
                <c:pt idx="10">
                  <c:v>308180</c:v>
                </c:pt>
                <c:pt idx="11">
                  <c:v>312360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C7-4CEA-A86D-C0E38FF0C92E}"/>
            </c:ext>
          </c:extLst>
        </c:ser>
        <c:ser>
          <c:idx val="4"/>
          <c:order val="4"/>
          <c:tx>
            <c:strRef>
              <c:f>'2028 Sales Summary'!$B$37</c:f>
              <c:strCache>
                <c:ptCount val="1"/>
                <c:pt idx="0">
                  <c:v>Weddings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'2028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'2028 Sales Summary'!$F$39:$Q$39</c:f>
              <c:numCache>
                <c:formatCode>#,##0</c:formatCode>
                <c:ptCount val="12"/>
                <c:pt idx="0">
                  <c:v>588910</c:v>
                </c:pt>
                <c:pt idx="1">
                  <c:v>592670</c:v>
                </c:pt>
                <c:pt idx="2">
                  <c:v>607240</c:v>
                </c:pt>
                <c:pt idx="3">
                  <c:v>611000</c:v>
                </c:pt>
                <c:pt idx="4">
                  <c:v>614760</c:v>
                </c:pt>
                <c:pt idx="5">
                  <c:v>618050</c:v>
                </c:pt>
                <c:pt idx="6">
                  <c:v>627450</c:v>
                </c:pt>
                <c:pt idx="7">
                  <c:v>631210</c:v>
                </c:pt>
                <c:pt idx="8">
                  <c:v>645310</c:v>
                </c:pt>
                <c:pt idx="9">
                  <c:v>649070</c:v>
                </c:pt>
                <c:pt idx="10">
                  <c:v>652830</c:v>
                </c:pt>
                <c:pt idx="11">
                  <c:v>656590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C7-4CEA-A86D-C0E38FF0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93983"/>
        <c:axId val="20494463"/>
      </c:barChart>
      <c:catAx>
        <c:axId val="20493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4463"/>
        <c:crosses val="autoZero"/>
        <c:auto val="1"/>
        <c:lblAlgn val="ctr"/>
        <c:lblOffset val="100"/>
        <c:noMultiLvlLbl val="0"/>
      </c:catAx>
      <c:valAx>
        <c:axId val="2049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39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2024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2024'!$C$17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2024'!$F$17:$Q$17</c:f>
              <c:numCache>
                <c:formatCode>#,##0</c:formatCode>
                <c:ptCount val="12"/>
                <c:pt idx="0">
                  <c:v>330030</c:v>
                </c:pt>
                <c:pt idx="1">
                  <c:v>430451</c:v>
                </c:pt>
                <c:pt idx="2">
                  <c:v>361850</c:v>
                </c:pt>
                <c:pt idx="3">
                  <c:v>451050</c:v>
                </c:pt>
                <c:pt idx="4">
                  <c:v>366785</c:v>
                </c:pt>
                <c:pt idx="5">
                  <c:v>392080</c:v>
                </c:pt>
                <c:pt idx="6">
                  <c:v>371015</c:v>
                </c:pt>
                <c:pt idx="7">
                  <c:v>390505</c:v>
                </c:pt>
                <c:pt idx="8">
                  <c:v>397210</c:v>
                </c:pt>
                <c:pt idx="9">
                  <c:v>441485</c:v>
                </c:pt>
                <c:pt idx="10">
                  <c:v>448480</c:v>
                </c:pt>
                <c:pt idx="11">
                  <c:v>449900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D-4097-B11A-EEAFC1290730}"/>
            </c:ext>
          </c:extLst>
        </c:ser>
        <c:ser>
          <c:idx val="1"/>
          <c:order val="1"/>
          <c:tx>
            <c:strRef>
              <c:f>'IS 2024'!$C$18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2024'!$F$18:$Q$18</c:f>
              <c:numCache>
                <c:formatCode>#,##0</c:formatCode>
                <c:ptCount val="12"/>
                <c:pt idx="0">
                  <c:v>-10390</c:v>
                </c:pt>
                <c:pt idx="1">
                  <c:v>-10390</c:v>
                </c:pt>
                <c:pt idx="2">
                  <c:v>-10390</c:v>
                </c:pt>
                <c:pt idx="3">
                  <c:v>-10390</c:v>
                </c:pt>
                <c:pt idx="4">
                  <c:v>-10390</c:v>
                </c:pt>
                <c:pt idx="5">
                  <c:v>-10390</c:v>
                </c:pt>
                <c:pt idx="6">
                  <c:v>-10390</c:v>
                </c:pt>
                <c:pt idx="7">
                  <c:v>-10390</c:v>
                </c:pt>
                <c:pt idx="8">
                  <c:v>-10390</c:v>
                </c:pt>
                <c:pt idx="9">
                  <c:v>-10390</c:v>
                </c:pt>
                <c:pt idx="10">
                  <c:v>-10390</c:v>
                </c:pt>
                <c:pt idx="11">
                  <c:v>-10390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FD-4097-B11A-EEAFC1290730}"/>
            </c:ext>
          </c:extLst>
        </c:ser>
        <c:ser>
          <c:idx val="2"/>
          <c:order val="2"/>
          <c:tx>
            <c:strRef>
              <c:f>'IS 2024'!$C$38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2024'!$F$38:$Q$38</c:f>
              <c:numCache>
                <c:formatCode>#,##0</c:formatCode>
                <c:ptCount val="12"/>
                <c:pt idx="0">
                  <c:v>-2285</c:v>
                </c:pt>
                <c:pt idx="1">
                  <c:v>-2285</c:v>
                </c:pt>
                <c:pt idx="2">
                  <c:v>-2285</c:v>
                </c:pt>
                <c:pt idx="3">
                  <c:v>-2285</c:v>
                </c:pt>
                <c:pt idx="4">
                  <c:v>-2285</c:v>
                </c:pt>
                <c:pt idx="5">
                  <c:v>-2285</c:v>
                </c:pt>
                <c:pt idx="6">
                  <c:v>-2285</c:v>
                </c:pt>
                <c:pt idx="7">
                  <c:v>-2285</c:v>
                </c:pt>
                <c:pt idx="8">
                  <c:v>-2285</c:v>
                </c:pt>
                <c:pt idx="9">
                  <c:v>-2285</c:v>
                </c:pt>
                <c:pt idx="10">
                  <c:v>-2285</c:v>
                </c:pt>
                <c:pt idx="11">
                  <c:v>-2285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FD-4097-B11A-EEAFC1290730}"/>
            </c:ext>
          </c:extLst>
        </c:ser>
        <c:ser>
          <c:idx val="3"/>
          <c:order val="3"/>
          <c:tx>
            <c:strRef>
              <c:f>'IS 2024'!$C$39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2024'!$F$39:$Q$39</c:f>
              <c:numCache>
                <c:formatCode>#,##0</c:formatCode>
                <c:ptCount val="12"/>
                <c:pt idx="0">
                  <c:v>-4063</c:v>
                </c:pt>
                <c:pt idx="1">
                  <c:v>-4063</c:v>
                </c:pt>
                <c:pt idx="2">
                  <c:v>-4063</c:v>
                </c:pt>
                <c:pt idx="3">
                  <c:v>-4063</c:v>
                </c:pt>
                <c:pt idx="4">
                  <c:v>-4063</c:v>
                </c:pt>
                <c:pt idx="5">
                  <c:v>-4063</c:v>
                </c:pt>
                <c:pt idx="6">
                  <c:v>-4063</c:v>
                </c:pt>
                <c:pt idx="7">
                  <c:v>-4063</c:v>
                </c:pt>
                <c:pt idx="8">
                  <c:v>-4063</c:v>
                </c:pt>
                <c:pt idx="9">
                  <c:v>-4063</c:v>
                </c:pt>
                <c:pt idx="10">
                  <c:v>-4063</c:v>
                </c:pt>
                <c:pt idx="11">
                  <c:v>-4063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FD-4097-B11A-EEAFC1290730}"/>
            </c:ext>
          </c:extLst>
        </c:ser>
        <c:ser>
          <c:idx val="4"/>
          <c:order val="4"/>
          <c:tx>
            <c:strRef>
              <c:f>'IS 2024'!$C$59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2024'!$F$59:$Q$59</c:f>
              <c:numCache>
                <c:formatCode>#,##0</c:formatCode>
                <c:ptCount val="12"/>
                <c:pt idx="0">
                  <c:v>309105</c:v>
                </c:pt>
                <c:pt idx="1">
                  <c:v>409526</c:v>
                </c:pt>
                <c:pt idx="2">
                  <c:v>340925</c:v>
                </c:pt>
                <c:pt idx="3">
                  <c:v>430125</c:v>
                </c:pt>
                <c:pt idx="4">
                  <c:v>345860</c:v>
                </c:pt>
                <c:pt idx="5">
                  <c:v>371155</c:v>
                </c:pt>
                <c:pt idx="6">
                  <c:v>350090</c:v>
                </c:pt>
                <c:pt idx="7">
                  <c:v>369580</c:v>
                </c:pt>
                <c:pt idx="8">
                  <c:v>376285</c:v>
                </c:pt>
                <c:pt idx="9">
                  <c:v>420560</c:v>
                </c:pt>
                <c:pt idx="10">
                  <c:v>427555</c:v>
                </c:pt>
                <c:pt idx="11">
                  <c:v>428975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FD-4097-B11A-EEAFC1290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283440"/>
        <c:axId val="460266160"/>
      </c:barChart>
      <c:catAx>
        <c:axId val="46028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266160"/>
        <c:crosses val="autoZero"/>
        <c:auto val="1"/>
        <c:lblAlgn val="ctr"/>
        <c:lblOffset val="100"/>
        <c:noMultiLvlLbl val="0"/>
      </c:catAx>
      <c:valAx>
        <c:axId val="46026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283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2025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2025'!$C$17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2025'!$F$17:$Q$17</c:f>
              <c:numCache>
                <c:formatCode>#,##0</c:formatCode>
                <c:ptCount val="12"/>
                <c:pt idx="0">
                  <c:v>546073.22800000012</c:v>
                </c:pt>
                <c:pt idx="1">
                  <c:v>553703.89199999999</c:v>
                </c:pt>
                <c:pt idx="2">
                  <c:v>559369.55599999998</c:v>
                </c:pt>
                <c:pt idx="3">
                  <c:v>564920.22</c:v>
                </c:pt>
                <c:pt idx="4">
                  <c:v>562607.38800000004</c:v>
                </c:pt>
                <c:pt idx="5">
                  <c:v>566182.17799999996</c:v>
                </c:pt>
                <c:pt idx="6">
                  <c:v>578025.46400000004</c:v>
                </c:pt>
                <c:pt idx="7">
                  <c:v>575181.75799999991</c:v>
                </c:pt>
                <c:pt idx="8">
                  <c:v>591486.79200000002</c:v>
                </c:pt>
                <c:pt idx="9">
                  <c:v>593524.18699999992</c:v>
                </c:pt>
                <c:pt idx="10">
                  <c:v>582881.33799999999</c:v>
                </c:pt>
                <c:pt idx="11">
                  <c:v>586218.73300000001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F-40CB-B710-870D5F2C71F6}"/>
            </c:ext>
          </c:extLst>
        </c:ser>
        <c:ser>
          <c:idx val="1"/>
          <c:order val="1"/>
          <c:tx>
            <c:strRef>
              <c:f>'IS 2025'!$C$18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2025'!$F$18:$Q$18</c:f>
              <c:numCache>
                <c:formatCode>#,##0</c:formatCode>
                <c:ptCount val="12"/>
                <c:pt idx="0">
                  <c:v>-10390</c:v>
                </c:pt>
                <c:pt idx="1">
                  <c:v>-10390</c:v>
                </c:pt>
                <c:pt idx="2">
                  <c:v>-10390</c:v>
                </c:pt>
                <c:pt idx="3">
                  <c:v>-10390</c:v>
                </c:pt>
                <c:pt idx="4">
                  <c:v>-10390</c:v>
                </c:pt>
                <c:pt idx="5">
                  <c:v>-10390</c:v>
                </c:pt>
                <c:pt idx="6">
                  <c:v>-10390</c:v>
                </c:pt>
                <c:pt idx="7">
                  <c:v>-10390</c:v>
                </c:pt>
                <c:pt idx="8">
                  <c:v>-10390</c:v>
                </c:pt>
                <c:pt idx="9">
                  <c:v>-10390</c:v>
                </c:pt>
                <c:pt idx="10">
                  <c:v>-10390</c:v>
                </c:pt>
                <c:pt idx="11">
                  <c:v>-10390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F-40CB-B710-870D5F2C71F6}"/>
            </c:ext>
          </c:extLst>
        </c:ser>
        <c:ser>
          <c:idx val="2"/>
          <c:order val="2"/>
          <c:tx>
            <c:strRef>
              <c:f>'IS 2025'!$C$39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2025'!$F$39:$Q$39</c:f>
              <c:numCache>
                <c:formatCode>#,##0</c:formatCode>
                <c:ptCount val="12"/>
                <c:pt idx="0">
                  <c:v>-2285</c:v>
                </c:pt>
                <c:pt idx="1">
                  <c:v>-2285</c:v>
                </c:pt>
                <c:pt idx="2">
                  <c:v>-2285</c:v>
                </c:pt>
                <c:pt idx="3">
                  <c:v>-2285</c:v>
                </c:pt>
                <c:pt idx="4">
                  <c:v>-2285</c:v>
                </c:pt>
                <c:pt idx="5">
                  <c:v>-2285</c:v>
                </c:pt>
                <c:pt idx="6">
                  <c:v>-2285</c:v>
                </c:pt>
                <c:pt idx="7">
                  <c:v>-2285</c:v>
                </c:pt>
                <c:pt idx="8">
                  <c:v>-2285</c:v>
                </c:pt>
                <c:pt idx="9">
                  <c:v>-2285</c:v>
                </c:pt>
                <c:pt idx="10">
                  <c:v>-2285</c:v>
                </c:pt>
                <c:pt idx="11">
                  <c:v>-2285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F-40CB-B710-870D5F2C71F6}"/>
            </c:ext>
          </c:extLst>
        </c:ser>
        <c:ser>
          <c:idx val="3"/>
          <c:order val="3"/>
          <c:tx>
            <c:strRef>
              <c:f>'IS 2025'!$C$40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2025'!$F$40:$Q$40</c:f>
              <c:numCache>
                <c:formatCode>#,##0</c:formatCode>
                <c:ptCount val="12"/>
                <c:pt idx="0">
                  <c:v>-4063</c:v>
                </c:pt>
                <c:pt idx="1">
                  <c:v>-4063</c:v>
                </c:pt>
                <c:pt idx="2">
                  <c:v>-4063</c:v>
                </c:pt>
                <c:pt idx="3">
                  <c:v>-4063</c:v>
                </c:pt>
                <c:pt idx="4">
                  <c:v>-4063</c:v>
                </c:pt>
                <c:pt idx="5">
                  <c:v>-4063</c:v>
                </c:pt>
                <c:pt idx="6">
                  <c:v>-4063</c:v>
                </c:pt>
                <c:pt idx="7">
                  <c:v>-4063</c:v>
                </c:pt>
                <c:pt idx="8">
                  <c:v>-4063</c:v>
                </c:pt>
                <c:pt idx="9">
                  <c:v>-4063</c:v>
                </c:pt>
                <c:pt idx="10">
                  <c:v>-4063</c:v>
                </c:pt>
                <c:pt idx="11">
                  <c:v>-4063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1F-40CB-B710-870D5F2C71F6}"/>
            </c:ext>
          </c:extLst>
        </c:ser>
        <c:ser>
          <c:idx val="4"/>
          <c:order val="4"/>
          <c:tx>
            <c:strRef>
              <c:f>'IS 2025'!$C$60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2025'!$F$60:$Q$60</c:f>
              <c:numCache>
                <c:formatCode>#,##0</c:formatCode>
                <c:ptCount val="12"/>
                <c:pt idx="0">
                  <c:v>525148.22800000012</c:v>
                </c:pt>
                <c:pt idx="1">
                  <c:v>532778.89199999999</c:v>
                </c:pt>
                <c:pt idx="2">
                  <c:v>538444.55599999998</c:v>
                </c:pt>
                <c:pt idx="3">
                  <c:v>543995.22</c:v>
                </c:pt>
                <c:pt idx="4">
                  <c:v>541682.38800000004</c:v>
                </c:pt>
                <c:pt idx="5">
                  <c:v>545257.17799999996</c:v>
                </c:pt>
                <c:pt idx="6">
                  <c:v>557100.46400000004</c:v>
                </c:pt>
                <c:pt idx="7">
                  <c:v>554256.75799999991</c:v>
                </c:pt>
                <c:pt idx="8">
                  <c:v>570561.79200000002</c:v>
                </c:pt>
                <c:pt idx="9">
                  <c:v>572599.18699999992</c:v>
                </c:pt>
                <c:pt idx="10">
                  <c:v>561956.33799999999</c:v>
                </c:pt>
                <c:pt idx="11">
                  <c:v>565293.73300000001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1F-40CB-B710-870D5F2C7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322800"/>
        <c:axId val="460326160"/>
      </c:barChart>
      <c:catAx>
        <c:axId val="460322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326160"/>
        <c:crosses val="autoZero"/>
        <c:auto val="1"/>
        <c:lblAlgn val="ctr"/>
        <c:lblOffset val="100"/>
        <c:noMultiLvlLbl val="0"/>
      </c:catAx>
      <c:valAx>
        <c:axId val="46032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32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2026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2026'!$C$17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2026'!$F$17:$Q$17</c:f>
              <c:numCache>
                <c:formatCode>#,##0</c:formatCode>
                <c:ptCount val="12"/>
                <c:pt idx="0">
                  <c:v>604075</c:v>
                </c:pt>
                <c:pt idx="1">
                  <c:v>611500</c:v>
                </c:pt>
                <c:pt idx="2">
                  <c:v>571645</c:v>
                </c:pt>
                <c:pt idx="3">
                  <c:v>919695</c:v>
                </c:pt>
                <c:pt idx="4">
                  <c:v>580055</c:v>
                </c:pt>
                <c:pt idx="5">
                  <c:v>586650</c:v>
                </c:pt>
                <c:pt idx="6">
                  <c:v>603345</c:v>
                </c:pt>
                <c:pt idx="7">
                  <c:v>595110</c:v>
                </c:pt>
                <c:pt idx="8">
                  <c:v>617740</c:v>
                </c:pt>
                <c:pt idx="9">
                  <c:v>620345</c:v>
                </c:pt>
                <c:pt idx="10">
                  <c:v>629320</c:v>
                </c:pt>
                <c:pt idx="11">
                  <c:v>661710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F-46D0-8AF1-CEC66A3C3208}"/>
            </c:ext>
          </c:extLst>
        </c:ser>
        <c:ser>
          <c:idx val="1"/>
          <c:order val="1"/>
          <c:tx>
            <c:strRef>
              <c:f>'IS 2026'!$C$18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2026'!$F$18:$Q$18</c:f>
              <c:numCache>
                <c:formatCode>#,##0</c:formatCode>
                <c:ptCount val="12"/>
                <c:pt idx="0">
                  <c:v>8610</c:v>
                </c:pt>
                <c:pt idx="1">
                  <c:v>8610</c:v>
                </c:pt>
                <c:pt idx="2">
                  <c:v>8610</c:v>
                </c:pt>
                <c:pt idx="3">
                  <c:v>8610</c:v>
                </c:pt>
                <c:pt idx="4">
                  <c:v>8610</c:v>
                </c:pt>
                <c:pt idx="5">
                  <c:v>8610</c:v>
                </c:pt>
                <c:pt idx="6">
                  <c:v>8610</c:v>
                </c:pt>
                <c:pt idx="7">
                  <c:v>8610</c:v>
                </c:pt>
                <c:pt idx="8">
                  <c:v>8610</c:v>
                </c:pt>
                <c:pt idx="9">
                  <c:v>8610</c:v>
                </c:pt>
                <c:pt idx="10">
                  <c:v>8610</c:v>
                </c:pt>
                <c:pt idx="11">
                  <c:v>8610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2F-46D0-8AF1-CEC66A3C3208}"/>
            </c:ext>
          </c:extLst>
        </c:ser>
        <c:ser>
          <c:idx val="2"/>
          <c:order val="2"/>
          <c:tx>
            <c:strRef>
              <c:f>'IS 2026'!$C$38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2026'!$F$38:$Q$38</c:f>
              <c:numCache>
                <c:formatCode>#,##0</c:formatCode>
                <c:ptCount val="12"/>
                <c:pt idx="0">
                  <c:v>-2285</c:v>
                </c:pt>
                <c:pt idx="1">
                  <c:v>-2285</c:v>
                </c:pt>
                <c:pt idx="2">
                  <c:v>-2285</c:v>
                </c:pt>
                <c:pt idx="3">
                  <c:v>-2285</c:v>
                </c:pt>
                <c:pt idx="4">
                  <c:v>-2285</c:v>
                </c:pt>
                <c:pt idx="5">
                  <c:v>-2285</c:v>
                </c:pt>
                <c:pt idx="6">
                  <c:v>-2285</c:v>
                </c:pt>
                <c:pt idx="7">
                  <c:v>-2285</c:v>
                </c:pt>
                <c:pt idx="8">
                  <c:v>-2285</c:v>
                </c:pt>
                <c:pt idx="9">
                  <c:v>-2285</c:v>
                </c:pt>
                <c:pt idx="10">
                  <c:v>-2285</c:v>
                </c:pt>
                <c:pt idx="11">
                  <c:v>-2285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2F-46D0-8AF1-CEC66A3C3208}"/>
            </c:ext>
          </c:extLst>
        </c:ser>
        <c:ser>
          <c:idx val="3"/>
          <c:order val="3"/>
          <c:tx>
            <c:strRef>
              <c:f>'IS 2026'!$C$39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2026'!$F$39:$Q$39</c:f>
              <c:numCache>
                <c:formatCode>#,##0</c:formatCode>
                <c:ptCount val="12"/>
                <c:pt idx="0">
                  <c:v>-45063</c:v>
                </c:pt>
                <c:pt idx="1">
                  <c:v>-45063</c:v>
                </c:pt>
                <c:pt idx="2">
                  <c:v>-45063</c:v>
                </c:pt>
                <c:pt idx="3">
                  <c:v>-45063</c:v>
                </c:pt>
                <c:pt idx="4">
                  <c:v>-45063</c:v>
                </c:pt>
                <c:pt idx="5">
                  <c:v>-45063</c:v>
                </c:pt>
                <c:pt idx="6">
                  <c:v>-45063</c:v>
                </c:pt>
                <c:pt idx="7">
                  <c:v>-45063</c:v>
                </c:pt>
                <c:pt idx="8">
                  <c:v>-45063</c:v>
                </c:pt>
                <c:pt idx="9">
                  <c:v>-45063</c:v>
                </c:pt>
                <c:pt idx="10">
                  <c:v>-45063</c:v>
                </c:pt>
                <c:pt idx="11">
                  <c:v>-45063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2F-46D0-8AF1-CEC66A3C3208}"/>
            </c:ext>
          </c:extLst>
        </c:ser>
        <c:ser>
          <c:idx val="4"/>
          <c:order val="4"/>
          <c:tx>
            <c:strRef>
              <c:f>'IS 2026'!$C$59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2026'!$F$59:$Q$59</c:f>
              <c:numCache>
                <c:formatCode>#,##0</c:formatCode>
                <c:ptCount val="12"/>
                <c:pt idx="0">
                  <c:v>602150</c:v>
                </c:pt>
                <c:pt idx="1">
                  <c:v>609575</c:v>
                </c:pt>
                <c:pt idx="2">
                  <c:v>569720</c:v>
                </c:pt>
                <c:pt idx="3">
                  <c:v>917770</c:v>
                </c:pt>
                <c:pt idx="4">
                  <c:v>578130</c:v>
                </c:pt>
                <c:pt idx="5">
                  <c:v>584725</c:v>
                </c:pt>
                <c:pt idx="6">
                  <c:v>601420</c:v>
                </c:pt>
                <c:pt idx="7">
                  <c:v>593185</c:v>
                </c:pt>
                <c:pt idx="8">
                  <c:v>615815</c:v>
                </c:pt>
                <c:pt idx="9">
                  <c:v>618420</c:v>
                </c:pt>
                <c:pt idx="10">
                  <c:v>627395</c:v>
                </c:pt>
                <c:pt idx="11">
                  <c:v>659785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2F-46D0-8AF1-CEC66A3C3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407856"/>
        <c:axId val="516397776"/>
      </c:barChart>
      <c:catAx>
        <c:axId val="516407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397776"/>
        <c:crosses val="autoZero"/>
        <c:auto val="1"/>
        <c:lblAlgn val="ctr"/>
        <c:lblOffset val="100"/>
        <c:noMultiLvlLbl val="0"/>
      </c:catAx>
      <c:valAx>
        <c:axId val="51639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407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2027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2027'!$C$17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2027'!$F$17:$Q$17</c:f>
              <c:numCache>
                <c:formatCode>#,##0</c:formatCode>
                <c:ptCount val="12"/>
                <c:pt idx="0">
                  <c:v>883175</c:v>
                </c:pt>
                <c:pt idx="1">
                  <c:v>904835</c:v>
                </c:pt>
                <c:pt idx="2">
                  <c:v>911350</c:v>
                </c:pt>
                <c:pt idx="3">
                  <c:v>917485</c:v>
                </c:pt>
                <c:pt idx="4">
                  <c:v>923530</c:v>
                </c:pt>
                <c:pt idx="5">
                  <c:v>929665</c:v>
                </c:pt>
                <c:pt idx="6">
                  <c:v>936180</c:v>
                </c:pt>
                <c:pt idx="7">
                  <c:v>959660</c:v>
                </c:pt>
                <c:pt idx="8">
                  <c:v>967035</c:v>
                </c:pt>
                <c:pt idx="9">
                  <c:v>973840</c:v>
                </c:pt>
                <c:pt idx="10">
                  <c:v>987120</c:v>
                </c:pt>
                <c:pt idx="11">
                  <c:v>994995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2-455B-80D0-6EF7F97100FB}"/>
            </c:ext>
          </c:extLst>
        </c:ser>
        <c:ser>
          <c:idx val="1"/>
          <c:order val="1"/>
          <c:tx>
            <c:strRef>
              <c:f>'IS 2027'!$C$18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2027'!$F$18:$Q$18</c:f>
              <c:numCache>
                <c:formatCode>#,##0</c:formatCode>
                <c:ptCount val="12"/>
                <c:pt idx="0">
                  <c:v>-32544</c:v>
                </c:pt>
                <c:pt idx="1">
                  <c:v>-32544</c:v>
                </c:pt>
                <c:pt idx="2">
                  <c:v>-32544</c:v>
                </c:pt>
                <c:pt idx="3">
                  <c:v>-32544</c:v>
                </c:pt>
                <c:pt idx="4">
                  <c:v>-32544</c:v>
                </c:pt>
                <c:pt idx="5">
                  <c:v>-32544</c:v>
                </c:pt>
                <c:pt idx="6">
                  <c:v>-32544</c:v>
                </c:pt>
                <c:pt idx="7">
                  <c:v>-32544</c:v>
                </c:pt>
                <c:pt idx="8">
                  <c:v>-32544</c:v>
                </c:pt>
                <c:pt idx="9">
                  <c:v>-32544</c:v>
                </c:pt>
                <c:pt idx="10">
                  <c:v>-32544</c:v>
                </c:pt>
                <c:pt idx="11">
                  <c:v>-32544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2-455B-80D0-6EF7F97100FB}"/>
            </c:ext>
          </c:extLst>
        </c:ser>
        <c:ser>
          <c:idx val="2"/>
          <c:order val="2"/>
          <c:tx>
            <c:strRef>
              <c:f>'IS 2027'!$C$37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2027'!$F$37:$Q$37</c:f>
              <c:numCache>
                <c:formatCode>#,##0</c:formatCode>
                <c:ptCount val="12"/>
                <c:pt idx="0">
                  <c:v>-28713</c:v>
                </c:pt>
                <c:pt idx="1">
                  <c:v>-28713</c:v>
                </c:pt>
                <c:pt idx="2">
                  <c:v>-28713</c:v>
                </c:pt>
                <c:pt idx="3">
                  <c:v>-28713</c:v>
                </c:pt>
                <c:pt idx="4">
                  <c:v>-28713</c:v>
                </c:pt>
                <c:pt idx="5">
                  <c:v>-28713</c:v>
                </c:pt>
                <c:pt idx="6">
                  <c:v>-28713</c:v>
                </c:pt>
                <c:pt idx="7">
                  <c:v>-28713</c:v>
                </c:pt>
                <c:pt idx="8">
                  <c:v>-28713</c:v>
                </c:pt>
                <c:pt idx="9">
                  <c:v>-28713</c:v>
                </c:pt>
                <c:pt idx="10">
                  <c:v>-28713</c:v>
                </c:pt>
                <c:pt idx="11">
                  <c:v>-17479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2-455B-80D0-6EF7F97100FB}"/>
            </c:ext>
          </c:extLst>
        </c:ser>
        <c:ser>
          <c:idx val="3"/>
          <c:order val="3"/>
          <c:tx>
            <c:strRef>
              <c:f>'IS 2027'!$C$38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2027'!$F$38:$Q$38</c:f>
              <c:numCache>
                <c:formatCode>#,##0</c:formatCode>
                <c:ptCount val="12"/>
                <c:pt idx="0">
                  <c:v>-45063</c:v>
                </c:pt>
                <c:pt idx="1">
                  <c:v>-45063</c:v>
                </c:pt>
                <c:pt idx="2">
                  <c:v>-45063</c:v>
                </c:pt>
                <c:pt idx="3">
                  <c:v>-45063</c:v>
                </c:pt>
                <c:pt idx="4">
                  <c:v>-45063</c:v>
                </c:pt>
                <c:pt idx="5">
                  <c:v>-45063</c:v>
                </c:pt>
                <c:pt idx="6">
                  <c:v>-45063</c:v>
                </c:pt>
                <c:pt idx="7">
                  <c:v>-45063</c:v>
                </c:pt>
                <c:pt idx="8">
                  <c:v>-45063</c:v>
                </c:pt>
                <c:pt idx="9">
                  <c:v>-45063</c:v>
                </c:pt>
                <c:pt idx="10">
                  <c:v>-45063</c:v>
                </c:pt>
                <c:pt idx="11">
                  <c:v>-45063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2-455B-80D0-6EF7F97100FB}"/>
            </c:ext>
          </c:extLst>
        </c:ser>
        <c:ser>
          <c:idx val="4"/>
          <c:order val="4"/>
          <c:tx>
            <c:strRef>
              <c:f>'IS 2027'!$C$57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2027'!$F$57:$Q$57</c:f>
              <c:numCache>
                <c:formatCode>#,##0</c:formatCode>
                <c:ptCount val="12"/>
                <c:pt idx="0">
                  <c:v>813668</c:v>
                </c:pt>
                <c:pt idx="1">
                  <c:v>835328</c:v>
                </c:pt>
                <c:pt idx="2">
                  <c:v>841843</c:v>
                </c:pt>
                <c:pt idx="3">
                  <c:v>847978</c:v>
                </c:pt>
                <c:pt idx="4">
                  <c:v>854023</c:v>
                </c:pt>
                <c:pt idx="5">
                  <c:v>860158</c:v>
                </c:pt>
                <c:pt idx="6">
                  <c:v>866673</c:v>
                </c:pt>
                <c:pt idx="7">
                  <c:v>890153</c:v>
                </c:pt>
                <c:pt idx="8">
                  <c:v>897528</c:v>
                </c:pt>
                <c:pt idx="9">
                  <c:v>904333</c:v>
                </c:pt>
                <c:pt idx="10">
                  <c:v>917613</c:v>
                </c:pt>
                <c:pt idx="11">
                  <c:v>936722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02-455B-80D0-6EF7F9710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399696"/>
        <c:axId val="516401136"/>
      </c:barChart>
      <c:catAx>
        <c:axId val="516399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401136"/>
        <c:crosses val="autoZero"/>
        <c:auto val="1"/>
        <c:lblAlgn val="ctr"/>
        <c:lblOffset val="100"/>
        <c:noMultiLvlLbl val="0"/>
      </c:catAx>
      <c:valAx>
        <c:axId val="51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399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2028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2028'!$C$17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'IS 2028'!$F$6:$Q$6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2028'!$F$17:$Q$17</c:f>
              <c:numCache>
                <c:formatCode>#,##0</c:formatCode>
                <c:ptCount val="12"/>
                <c:pt idx="0">
                  <c:v>1000660</c:v>
                </c:pt>
                <c:pt idx="1">
                  <c:v>1007175</c:v>
                </c:pt>
                <c:pt idx="2">
                  <c:v>1032005</c:v>
                </c:pt>
                <c:pt idx="3">
                  <c:v>1037815</c:v>
                </c:pt>
                <c:pt idx="4">
                  <c:v>1044330</c:v>
                </c:pt>
                <c:pt idx="5">
                  <c:v>1049995</c:v>
                </c:pt>
                <c:pt idx="6">
                  <c:v>1066255</c:v>
                </c:pt>
                <c:pt idx="7">
                  <c:v>1072390</c:v>
                </c:pt>
                <c:pt idx="8">
                  <c:v>1096105</c:v>
                </c:pt>
                <c:pt idx="9">
                  <c:v>1102620</c:v>
                </c:pt>
                <c:pt idx="10">
                  <c:v>1109515</c:v>
                </c:pt>
                <c:pt idx="11">
                  <c:v>1118310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2-49D0-8002-A801B944FBD1}"/>
            </c:ext>
          </c:extLst>
        </c:ser>
        <c:ser>
          <c:idx val="1"/>
          <c:order val="1"/>
          <c:tx>
            <c:strRef>
              <c:f>'IS 2028'!$C$18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'IS 2028'!$F$6:$Q$6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2028'!$F$18:$Q$18</c:f>
              <c:numCache>
                <c:formatCode>#,##0</c:formatCode>
                <c:ptCount val="12"/>
                <c:pt idx="0">
                  <c:v>-32544</c:v>
                </c:pt>
                <c:pt idx="1">
                  <c:v>-32544</c:v>
                </c:pt>
                <c:pt idx="2">
                  <c:v>-38444</c:v>
                </c:pt>
                <c:pt idx="3">
                  <c:v>-38444</c:v>
                </c:pt>
                <c:pt idx="4">
                  <c:v>-38444</c:v>
                </c:pt>
                <c:pt idx="5">
                  <c:v>-38444</c:v>
                </c:pt>
                <c:pt idx="6">
                  <c:v>-38444</c:v>
                </c:pt>
                <c:pt idx="7">
                  <c:v>-38444</c:v>
                </c:pt>
                <c:pt idx="8">
                  <c:v>-38444</c:v>
                </c:pt>
                <c:pt idx="9">
                  <c:v>-38444</c:v>
                </c:pt>
                <c:pt idx="10">
                  <c:v>-38444</c:v>
                </c:pt>
                <c:pt idx="11">
                  <c:v>-38444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B2-49D0-8002-A801B944FBD1}"/>
            </c:ext>
          </c:extLst>
        </c:ser>
        <c:ser>
          <c:idx val="2"/>
          <c:order val="2"/>
          <c:tx>
            <c:strRef>
              <c:f>'IS 2028'!$C$37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'IS 2028'!$F$6:$Q$6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2028'!$F$37:$Q$37</c:f>
              <c:numCache>
                <c:formatCode>#,##0</c:formatCode>
                <c:ptCount val="12"/>
                <c:pt idx="0">
                  <c:v>-28713</c:v>
                </c:pt>
                <c:pt idx="1">
                  <c:v>-28713</c:v>
                </c:pt>
                <c:pt idx="2">
                  <c:v>-28713</c:v>
                </c:pt>
                <c:pt idx="3">
                  <c:v>-28713</c:v>
                </c:pt>
                <c:pt idx="4">
                  <c:v>-28713</c:v>
                </c:pt>
                <c:pt idx="5">
                  <c:v>-28713</c:v>
                </c:pt>
                <c:pt idx="6">
                  <c:v>-28713</c:v>
                </c:pt>
                <c:pt idx="7">
                  <c:v>-28713</c:v>
                </c:pt>
                <c:pt idx="8">
                  <c:v>-28713</c:v>
                </c:pt>
                <c:pt idx="9">
                  <c:v>-28713</c:v>
                </c:pt>
                <c:pt idx="10">
                  <c:v>-28713</c:v>
                </c:pt>
                <c:pt idx="11">
                  <c:v>-17479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B2-49D0-8002-A801B944FBD1}"/>
            </c:ext>
          </c:extLst>
        </c:ser>
        <c:ser>
          <c:idx val="3"/>
          <c:order val="3"/>
          <c:tx>
            <c:strRef>
              <c:f>'IS 2028'!$C$38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2028'!$F$6:$Q$6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2028'!$F$38:$Q$38</c:f>
              <c:numCache>
                <c:formatCode>#,##0</c:formatCode>
                <c:ptCount val="12"/>
                <c:pt idx="0">
                  <c:v>-45063</c:v>
                </c:pt>
                <c:pt idx="1">
                  <c:v>-45063</c:v>
                </c:pt>
                <c:pt idx="2">
                  <c:v>-45063</c:v>
                </c:pt>
                <c:pt idx="3">
                  <c:v>-45063</c:v>
                </c:pt>
                <c:pt idx="4">
                  <c:v>-45063</c:v>
                </c:pt>
                <c:pt idx="5">
                  <c:v>-45063</c:v>
                </c:pt>
                <c:pt idx="6">
                  <c:v>-45063</c:v>
                </c:pt>
                <c:pt idx="7">
                  <c:v>-45063</c:v>
                </c:pt>
                <c:pt idx="8">
                  <c:v>-45063</c:v>
                </c:pt>
                <c:pt idx="9">
                  <c:v>-45063</c:v>
                </c:pt>
                <c:pt idx="10">
                  <c:v>-45063</c:v>
                </c:pt>
                <c:pt idx="11">
                  <c:v>-45063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B2-49D0-8002-A801B944FBD1}"/>
            </c:ext>
          </c:extLst>
        </c:ser>
        <c:ser>
          <c:idx val="4"/>
          <c:order val="4"/>
          <c:tx>
            <c:strRef>
              <c:f>'IS 2028'!$C$57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2028'!$F$6:$Q$6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2028'!$F$57:$Q$57</c:f>
              <c:numCache>
                <c:formatCode>#,##0</c:formatCode>
                <c:ptCount val="12"/>
                <c:pt idx="0">
                  <c:v>931153</c:v>
                </c:pt>
                <c:pt idx="1">
                  <c:v>937668</c:v>
                </c:pt>
                <c:pt idx="2">
                  <c:v>956598</c:v>
                </c:pt>
                <c:pt idx="3">
                  <c:v>962408</c:v>
                </c:pt>
                <c:pt idx="4">
                  <c:v>968923</c:v>
                </c:pt>
                <c:pt idx="5">
                  <c:v>974588</c:v>
                </c:pt>
                <c:pt idx="6">
                  <c:v>990848</c:v>
                </c:pt>
                <c:pt idx="7">
                  <c:v>996983</c:v>
                </c:pt>
                <c:pt idx="8">
                  <c:v>1020698</c:v>
                </c:pt>
                <c:pt idx="9">
                  <c:v>1027213</c:v>
                </c:pt>
                <c:pt idx="10">
                  <c:v>1034108</c:v>
                </c:pt>
                <c:pt idx="11">
                  <c:v>1054137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B2-49D0-8002-A801B944F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491856"/>
        <c:axId val="516485136"/>
      </c:barChart>
      <c:catAx>
        <c:axId val="51649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485136"/>
        <c:crosses val="autoZero"/>
        <c:auto val="1"/>
        <c:lblAlgn val="ctr"/>
        <c:lblOffset val="100"/>
        <c:noMultiLvlLbl val="0"/>
      </c:catAx>
      <c:valAx>
        <c:axId val="5164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491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KPI's 2024 - 2025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Calculations!$D$42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Calculations!$E$42:$AB$42</c:f>
              <c:numCache>
                <c:formatCode>#,##0</c:formatCode>
                <c:ptCount val="24"/>
                <c:pt idx="0">
                  <c:v>330030</c:v>
                </c:pt>
                <c:pt idx="1">
                  <c:v>430451</c:v>
                </c:pt>
                <c:pt idx="2">
                  <c:v>361850</c:v>
                </c:pt>
                <c:pt idx="3">
                  <c:v>451050</c:v>
                </c:pt>
                <c:pt idx="4">
                  <c:v>366785</c:v>
                </c:pt>
                <c:pt idx="5">
                  <c:v>392080</c:v>
                </c:pt>
                <c:pt idx="6">
                  <c:v>371015</c:v>
                </c:pt>
                <c:pt idx="7">
                  <c:v>390505</c:v>
                </c:pt>
                <c:pt idx="8">
                  <c:v>397210</c:v>
                </c:pt>
                <c:pt idx="9">
                  <c:v>441485</c:v>
                </c:pt>
                <c:pt idx="10">
                  <c:v>448480</c:v>
                </c:pt>
                <c:pt idx="11">
                  <c:v>449900</c:v>
                </c:pt>
                <c:pt idx="12">
                  <c:v>546073.22800000012</c:v>
                </c:pt>
                <c:pt idx="13">
                  <c:v>553703.89199999999</c:v>
                </c:pt>
                <c:pt idx="14">
                  <c:v>559369.55599999998</c:v>
                </c:pt>
                <c:pt idx="15">
                  <c:v>564920.22</c:v>
                </c:pt>
                <c:pt idx="16">
                  <c:v>562607.38800000004</c:v>
                </c:pt>
                <c:pt idx="17">
                  <c:v>566182.17799999996</c:v>
                </c:pt>
                <c:pt idx="18">
                  <c:v>578025.46400000004</c:v>
                </c:pt>
                <c:pt idx="19">
                  <c:v>575181.75799999991</c:v>
                </c:pt>
                <c:pt idx="20">
                  <c:v>591486.79200000002</c:v>
                </c:pt>
                <c:pt idx="21">
                  <c:v>593524.18699999992</c:v>
                </c:pt>
                <c:pt idx="22">
                  <c:v>582881.33799999999</c:v>
                </c:pt>
                <c:pt idx="23">
                  <c:v>586218.73300000001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A-4814-8E28-6065FD291E83}"/>
            </c:ext>
          </c:extLst>
        </c:ser>
        <c:ser>
          <c:idx val="2"/>
          <c:order val="1"/>
          <c:tx>
            <c:strRef>
              <c:f>Calculations!$D$43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Calculations!$E$43:$AB$43</c:f>
              <c:numCache>
                <c:formatCode>#,##0</c:formatCode>
                <c:ptCount val="24"/>
                <c:pt idx="0">
                  <c:v>-10390</c:v>
                </c:pt>
                <c:pt idx="1">
                  <c:v>-10390</c:v>
                </c:pt>
                <c:pt idx="2">
                  <c:v>-10390</c:v>
                </c:pt>
                <c:pt idx="3">
                  <c:v>-10390</c:v>
                </c:pt>
                <c:pt idx="4">
                  <c:v>-10390</c:v>
                </c:pt>
                <c:pt idx="5">
                  <c:v>-10390</c:v>
                </c:pt>
                <c:pt idx="6">
                  <c:v>-10390</c:v>
                </c:pt>
                <c:pt idx="7">
                  <c:v>-10390</c:v>
                </c:pt>
                <c:pt idx="8">
                  <c:v>-10390</c:v>
                </c:pt>
                <c:pt idx="9">
                  <c:v>-10390</c:v>
                </c:pt>
                <c:pt idx="10">
                  <c:v>-10390</c:v>
                </c:pt>
                <c:pt idx="11">
                  <c:v>-10390</c:v>
                </c:pt>
                <c:pt idx="12">
                  <c:v>-10390</c:v>
                </c:pt>
                <c:pt idx="13">
                  <c:v>-10390</c:v>
                </c:pt>
                <c:pt idx="14">
                  <c:v>-10390</c:v>
                </c:pt>
                <c:pt idx="15">
                  <c:v>-10390</c:v>
                </c:pt>
                <c:pt idx="16">
                  <c:v>-10390</c:v>
                </c:pt>
                <c:pt idx="17">
                  <c:v>-10390</c:v>
                </c:pt>
                <c:pt idx="18">
                  <c:v>-10390</c:v>
                </c:pt>
                <c:pt idx="19">
                  <c:v>-10390</c:v>
                </c:pt>
                <c:pt idx="20">
                  <c:v>-10390</c:v>
                </c:pt>
                <c:pt idx="21">
                  <c:v>-10390</c:v>
                </c:pt>
                <c:pt idx="22">
                  <c:v>-10390</c:v>
                </c:pt>
                <c:pt idx="23">
                  <c:v>-10390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EA-4814-8E28-6065FD291E83}"/>
            </c:ext>
          </c:extLst>
        </c:ser>
        <c:ser>
          <c:idx val="3"/>
          <c:order val="2"/>
          <c:tx>
            <c:strRef>
              <c:f>Calculations!$D$44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Calculations!$E$44:$AB$44</c:f>
              <c:numCache>
                <c:formatCode>#,##0</c:formatCode>
                <c:ptCount val="24"/>
                <c:pt idx="0">
                  <c:v>-2285</c:v>
                </c:pt>
                <c:pt idx="1">
                  <c:v>-2285</c:v>
                </c:pt>
                <c:pt idx="2">
                  <c:v>-2285</c:v>
                </c:pt>
                <c:pt idx="3">
                  <c:v>-2285</c:v>
                </c:pt>
                <c:pt idx="4">
                  <c:v>-2285</c:v>
                </c:pt>
                <c:pt idx="5">
                  <c:v>-2285</c:v>
                </c:pt>
                <c:pt idx="6">
                  <c:v>-2285</c:v>
                </c:pt>
                <c:pt idx="7">
                  <c:v>-2285</c:v>
                </c:pt>
                <c:pt idx="8">
                  <c:v>-2285</c:v>
                </c:pt>
                <c:pt idx="9">
                  <c:v>-2285</c:v>
                </c:pt>
                <c:pt idx="10">
                  <c:v>-2285</c:v>
                </c:pt>
                <c:pt idx="11">
                  <c:v>-2285</c:v>
                </c:pt>
                <c:pt idx="12">
                  <c:v>-2285</c:v>
                </c:pt>
                <c:pt idx="13">
                  <c:v>-2285</c:v>
                </c:pt>
                <c:pt idx="14">
                  <c:v>-2285</c:v>
                </c:pt>
                <c:pt idx="15">
                  <c:v>-2285</c:v>
                </c:pt>
                <c:pt idx="16">
                  <c:v>-2285</c:v>
                </c:pt>
                <c:pt idx="17">
                  <c:v>-2285</c:v>
                </c:pt>
                <c:pt idx="18">
                  <c:v>-2285</c:v>
                </c:pt>
                <c:pt idx="19">
                  <c:v>-2285</c:v>
                </c:pt>
                <c:pt idx="20">
                  <c:v>-2285</c:v>
                </c:pt>
                <c:pt idx="21">
                  <c:v>-2285</c:v>
                </c:pt>
                <c:pt idx="22">
                  <c:v>-2285</c:v>
                </c:pt>
                <c:pt idx="23">
                  <c:v>-2285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EA-4814-8E28-6065FD291E83}"/>
            </c:ext>
          </c:extLst>
        </c:ser>
        <c:ser>
          <c:idx val="4"/>
          <c:order val="3"/>
          <c:tx>
            <c:strRef>
              <c:f>Calculations!$D$45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Calculations!$E$45:$AB$45</c:f>
              <c:numCache>
                <c:formatCode>#,##0</c:formatCode>
                <c:ptCount val="24"/>
                <c:pt idx="0">
                  <c:v>-4063</c:v>
                </c:pt>
                <c:pt idx="1">
                  <c:v>-4063</c:v>
                </c:pt>
                <c:pt idx="2">
                  <c:v>-4063</c:v>
                </c:pt>
                <c:pt idx="3">
                  <c:v>-4063</c:v>
                </c:pt>
                <c:pt idx="4">
                  <c:v>-4063</c:v>
                </c:pt>
                <c:pt idx="5">
                  <c:v>-4063</c:v>
                </c:pt>
                <c:pt idx="6">
                  <c:v>-4063</c:v>
                </c:pt>
                <c:pt idx="7">
                  <c:v>-4063</c:v>
                </c:pt>
                <c:pt idx="8">
                  <c:v>-4063</c:v>
                </c:pt>
                <c:pt idx="9">
                  <c:v>-4063</c:v>
                </c:pt>
                <c:pt idx="10">
                  <c:v>-4063</c:v>
                </c:pt>
                <c:pt idx="11">
                  <c:v>-4063</c:v>
                </c:pt>
                <c:pt idx="12">
                  <c:v>-4063</c:v>
                </c:pt>
                <c:pt idx="13">
                  <c:v>-4063</c:v>
                </c:pt>
                <c:pt idx="14">
                  <c:v>-4063</c:v>
                </c:pt>
                <c:pt idx="15">
                  <c:v>-4063</c:v>
                </c:pt>
                <c:pt idx="16">
                  <c:v>-4063</c:v>
                </c:pt>
                <c:pt idx="17">
                  <c:v>-4063</c:v>
                </c:pt>
                <c:pt idx="18">
                  <c:v>-4063</c:v>
                </c:pt>
                <c:pt idx="19">
                  <c:v>-4063</c:v>
                </c:pt>
                <c:pt idx="20">
                  <c:v>-4063</c:v>
                </c:pt>
                <c:pt idx="21">
                  <c:v>-4063</c:v>
                </c:pt>
                <c:pt idx="22">
                  <c:v>-4063</c:v>
                </c:pt>
                <c:pt idx="23">
                  <c:v>-4063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EA-4814-8E28-6065FD291E83}"/>
            </c:ext>
          </c:extLst>
        </c:ser>
        <c:ser>
          <c:idx val="5"/>
          <c:order val="4"/>
          <c:tx>
            <c:strRef>
              <c:f>Calculations!$D$46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Calculations!$E$46:$AB$46</c:f>
              <c:numCache>
                <c:formatCode>#,##0</c:formatCode>
                <c:ptCount val="24"/>
                <c:pt idx="0">
                  <c:v>424833</c:v>
                </c:pt>
                <c:pt idx="1">
                  <c:v>444259</c:v>
                </c:pt>
                <c:pt idx="2">
                  <c:v>473068</c:v>
                </c:pt>
                <c:pt idx="3">
                  <c:v>474558</c:v>
                </c:pt>
                <c:pt idx="4">
                  <c:v>479798</c:v>
                </c:pt>
                <c:pt idx="5">
                  <c:v>515933</c:v>
                </c:pt>
                <c:pt idx="6">
                  <c:v>493708</c:v>
                </c:pt>
                <c:pt idx="7">
                  <c:v>522253</c:v>
                </c:pt>
                <c:pt idx="8">
                  <c:v>533023</c:v>
                </c:pt>
                <c:pt idx="9">
                  <c:v>591933</c:v>
                </c:pt>
                <c:pt idx="10">
                  <c:v>602488</c:v>
                </c:pt>
                <c:pt idx="11">
                  <c:v>623332</c:v>
                </c:pt>
                <c:pt idx="12">
                  <c:v>724561.57200000016</c:v>
                </c:pt>
                <c:pt idx="13">
                  <c:v>735619.30799999996</c:v>
                </c:pt>
                <c:pt idx="14">
                  <c:v>743902.04399999999</c:v>
                </c:pt>
                <c:pt idx="15">
                  <c:v>751919.78</c:v>
                </c:pt>
                <c:pt idx="16">
                  <c:v>748538.41200000001</c:v>
                </c:pt>
                <c:pt idx="17">
                  <c:v>753800.12199999986</c:v>
                </c:pt>
                <c:pt idx="18">
                  <c:v>770955.9360000001</c:v>
                </c:pt>
                <c:pt idx="19">
                  <c:v>766833.5419999999</c:v>
                </c:pt>
                <c:pt idx="20">
                  <c:v>790486.40800000005</c:v>
                </c:pt>
                <c:pt idx="21">
                  <c:v>793459.76300000004</c:v>
                </c:pt>
                <c:pt idx="22">
                  <c:v>777966.96200000006</c:v>
                </c:pt>
                <c:pt idx="23">
                  <c:v>794074.31700000004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EA-4814-8E28-6065FD291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988335"/>
        <c:axId val="311990255"/>
      </c:barChart>
      <c:catAx>
        <c:axId val="31198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90255"/>
        <c:crosses val="autoZero"/>
        <c:auto val="1"/>
        <c:lblAlgn val="ctr"/>
        <c:lblOffset val="100"/>
        <c:noMultiLvlLbl val="0"/>
      </c:catAx>
      <c:valAx>
        <c:axId val="311990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88335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KPI's 5 Years 2024 - 2028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Calculations!$D$42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Calculations!$E$41:$BL$41</c:f>
              <c:strCache>
                <c:ptCount val="60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</c:strCache>
            </c:strRef>
          </c:cat>
          <c:val>
            <c:numRef>
              <c:f>Calculations!$E$42:$BL$42</c:f>
              <c:numCache>
                <c:formatCode>#,##0</c:formatCode>
                <c:ptCount val="60"/>
                <c:pt idx="0">
                  <c:v>330030</c:v>
                </c:pt>
                <c:pt idx="1">
                  <c:v>430451</c:v>
                </c:pt>
                <c:pt idx="2">
                  <c:v>361850</c:v>
                </c:pt>
                <c:pt idx="3">
                  <c:v>451050</c:v>
                </c:pt>
                <c:pt idx="4">
                  <c:v>366785</c:v>
                </c:pt>
                <c:pt idx="5">
                  <c:v>392080</c:v>
                </c:pt>
                <c:pt idx="6">
                  <c:v>371015</c:v>
                </c:pt>
                <c:pt idx="7">
                  <c:v>390505</c:v>
                </c:pt>
                <c:pt idx="8">
                  <c:v>397210</c:v>
                </c:pt>
                <c:pt idx="9">
                  <c:v>441485</c:v>
                </c:pt>
                <c:pt idx="10">
                  <c:v>448480</c:v>
                </c:pt>
                <c:pt idx="11">
                  <c:v>449900</c:v>
                </c:pt>
                <c:pt idx="12">
                  <c:v>546073.22800000012</c:v>
                </c:pt>
                <c:pt idx="13">
                  <c:v>553703.89199999999</c:v>
                </c:pt>
                <c:pt idx="14">
                  <c:v>559369.55599999998</c:v>
                </c:pt>
                <c:pt idx="15">
                  <c:v>564920.22</c:v>
                </c:pt>
                <c:pt idx="16">
                  <c:v>562607.38800000004</c:v>
                </c:pt>
                <c:pt idx="17">
                  <c:v>566182.17799999996</c:v>
                </c:pt>
                <c:pt idx="18">
                  <c:v>578025.46400000004</c:v>
                </c:pt>
                <c:pt idx="19">
                  <c:v>575181.75799999991</c:v>
                </c:pt>
                <c:pt idx="20">
                  <c:v>591486.79200000002</c:v>
                </c:pt>
                <c:pt idx="21">
                  <c:v>593524.18699999992</c:v>
                </c:pt>
                <c:pt idx="22">
                  <c:v>582881.33799999999</c:v>
                </c:pt>
                <c:pt idx="23">
                  <c:v>586218.73300000001</c:v>
                </c:pt>
                <c:pt idx="24">
                  <c:v>604075</c:v>
                </c:pt>
                <c:pt idx="25">
                  <c:v>611500</c:v>
                </c:pt>
                <c:pt idx="26">
                  <c:v>571645</c:v>
                </c:pt>
                <c:pt idx="27">
                  <c:v>919695</c:v>
                </c:pt>
                <c:pt idx="28">
                  <c:v>580055</c:v>
                </c:pt>
                <c:pt idx="29">
                  <c:v>586650</c:v>
                </c:pt>
                <c:pt idx="30">
                  <c:v>603345</c:v>
                </c:pt>
                <c:pt idx="31">
                  <c:v>595110</c:v>
                </c:pt>
                <c:pt idx="32">
                  <c:v>617740</c:v>
                </c:pt>
                <c:pt idx="33">
                  <c:v>620345</c:v>
                </c:pt>
                <c:pt idx="34">
                  <c:v>629320</c:v>
                </c:pt>
                <c:pt idx="35">
                  <c:v>661710</c:v>
                </c:pt>
                <c:pt idx="36">
                  <c:v>883175</c:v>
                </c:pt>
                <c:pt idx="37">
                  <c:v>904835</c:v>
                </c:pt>
                <c:pt idx="38">
                  <c:v>911350</c:v>
                </c:pt>
                <c:pt idx="39">
                  <c:v>917485</c:v>
                </c:pt>
                <c:pt idx="40">
                  <c:v>923530</c:v>
                </c:pt>
                <c:pt idx="41">
                  <c:v>929665</c:v>
                </c:pt>
                <c:pt idx="42">
                  <c:v>936180</c:v>
                </c:pt>
                <c:pt idx="43">
                  <c:v>959660</c:v>
                </c:pt>
                <c:pt idx="44">
                  <c:v>967035</c:v>
                </c:pt>
                <c:pt idx="45">
                  <c:v>973840</c:v>
                </c:pt>
                <c:pt idx="46">
                  <c:v>987120</c:v>
                </c:pt>
                <c:pt idx="47">
                  <c:v>994995</c:v>
                </c:pt>
                <c:pt idx="48">
                  <c:v>1000660</c:v>
                </c:pt>
                <c:pt idx="49">
                  <c:v>1007175</c:v>
                </c:pt>
                <c:pt idx="50">
                  <c:v>1032005</c:v>
                </c:pt>
                <c:pt idx="51">
                  <c:v>1037815</c:v>
                </c:pt>
                <c:pt idx="52">
                  <c:v>1044330</c:v>
                </c:pt>
                <c:pt idx="53">
                  <c:v>1049995</c:v>
                </c:pt>
                <c:pt idx="54">
                  <c:v>1066255</c:v>
                </c:pt>
                <c:pt idx="55">
                  <c:v>1072390</c:v>
                </c:pt>
                <c:pt idx="56">
                  <c:v>1096105</c:v>
                </c:pt>
                <c:pt idx="57">
                  <c:v>1102620</c:v>
                </c:pt>
                <c:pt idx="58">
                  <c:v>1109515</c:v>
                </c:pt>
                <c:pt idx="59">
                  <c:v>1118310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2-44B6-BA0C-3C8DF72A8375}"/>
            </c:ext>
          </c:extLst>
        </c:ser>
        <c:ser>
          <c:idx val="1"/>
          <c:order val="1"/>
          <c:tx>
            <c:strRef>
              <c:f>Calculations!$D$43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Calculations!$E$41:$BL$41</c:f>
              <c:strCache>
                <c:ptCount val="60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</c:strCache>
            </c:strRef>
          </c:cat>
          <c:val>
            <c:numRef>
              <c:f>Calculations!$E$43:$BL$43</c:f>
              <c:numCache>
                <c:formatCode>#,##0</c:formatCode>
                <c:ptCount val="60"/>
                <c:pt idx="0">
                  <c:v>-10390</c:v>
                </c:pt>
                <c:pt idx="1">
                  <c:v>-10390</c:v>
                </c:pt>
                <c:pt idx="2">
                  <c:v>-10390</c:v>
                </c:pt>
                <c:pt idx="3">
                  <c:v>-10390</c:v>
                </c:pt>
                <c:pt idx="4">
                  <c:v>-10390</c:v>
                </c:pt>
                <c:pt idx="5">
                  <c:v>-10390</c:v>
                </c:pt>
                <c:pt idx="6">
                  <c:v>-10390</c:v>
                </c:pt>
                <c:pt idx="7">
                  <c:v>-10390</c:v>
                </c:pt>
                <c:pt idx="8">
                  <c:v>-10390</c:v>
                </c:pt>
                <c:pt idx="9">
                  <c:v>-10390</c:v>
                </c:pt>
                <c:pt idx="10">
                  <c:v>-10390</c:v>
                </c:pt>
                <c:pt idx="11">
                  <c:v>-10390</c:v>
                </c:pt>
                <c:pt idx="12">
                  <c:v>-10390</c:v>
                </c:pt>
                <c:pt idx="13">
                  <c:v>-10390</c:v>
                </c:pt>
                <c:pt idx="14">
                  <c:v>-10390</c:v>
                </c:pt>
                <c:pt idx="15">
                  <c:v>-10390</c:v>
                </c:pt>
                <c:pt idx="16">
                  <c:v>-10390</c:v>
                </c:pt>
                <c:pt idx="17">
                  <c:v>-10390</c:v>
                </c:pt>
                <c:pt idx="18">
                  <c:v>-10390</c:v>
                </c:pt>
                <c:pt idx="19">
                  <c:v>-10390</c:v>
                </c:pt>
                <c:pt idx="20">
                  <c:v>-10390</c:v>
                </c:pt>
                <c:pt idx="21">
                  <c:v>-10390</c:v>
                </c:pt>
                <c:pt idx="22">
                  <c:v>-10390</c:v>
                </c:pt>
                <c:pt idx="23">
                  <c:v>-10390</c:v>
                </c:pt>
                <c:pt idx="24">
                  <c:v>8610</c:v>
                </c:pt>
                <c:pt idx="25">
                  <c:v>8610</c:v>
                </c:pt>
                <c:pt idx="26">
                  <c:v>8610</c:v>
                </c:pt>
                <c:pt idx="27">
                  <c:v>8610</c:v>
                </c:pt>
                <c:pt idx="28">
                  <c:v>8610</c:v>
                </c:pt>
                <c:pt idx="29">
                  <c:v>8610</c:v>
                </c:pt>
                <c:pt idx="30">
                  <c:v>8610</c:v>
                </c:pt>
                <c:pt idx="31">
                  <c:v>8610</c:v>
                </c:pt>
                <c:pt idx="32">
                  <c:v>8610</c:v>
                </c:pt>
                <c:pt idx="33">
                  <c:v>8610</c:v>
                </c:pt>
                <c:pt idx="34">
                  <c:v>8610</c:v>
                </c:pt>
                <c:pt idx="35">
                  <c:v>8610</c:v>
                </c:pt>
                <c:pt idx="36">
                  <c:v>-32544</c:v>
                </c:pt>
                <c:pt idx="37">
                  <c:v>-32544</c:v>
                </c:pt>
                <c:pt idx="38">
                  <c:v>-32544</c:v>
                </c:pt>
                <c:pt idx="39">
                  <c:v>-32544</c:v>
                </c:pt>
                <c:pt idx="40">
                  <c:v>-32544</c:v>
                </c:pt>
                <c:pt idx="41">
                  <c:v>-32544</c:v>
                </c:pt>
                <c:pt idx="42">
                  <c:v>-32544</c:v>
                </c:pt>
                <c:pt idx="43">
                  <c:v>-32544</c:v>
                </c:pt>
                <c:pt idx="44">
                  <c:v>-32544</c:v>
                </c:pt>
                <c:pt idx="45">
                  <c:v>-32544</c:v>
                </c:pt>
                <c:pt idx="46">
                  <c:v>-32544</c:v>
                </c:pt>
                <c:pt idx="47">
                  <c:v>-32544</c:v>
                </c:pt>
                <c:pt idx="48">
                  <c:v>-32544</c:v>
                </c:pt>
                <c:pt idx="49">
                  <c:v>-32544</c:v>
                </c:pt>
                <c:pt idx="50">
                  <c:v>-38444</c:v>
                </c:pt>
                <c:pt idx="51">
                  <c:v>-38444</c:v>
                </c:pt>
                <c:pt idx="52">
                  <c:v>-38444</c:v>
                </c:pt>
                <c:pt idx="53">
                  <c:v>-38444</c:v>
                </c:pt>
                <c:pt idx="54">
                  <c:v>-38444</c:v>
                </c:pt>
                <c:pt idx="55">
                  <c:v>-38444</c:v>
                </c:pt>
                <c:pt idx="56">
                  <c:v>-38444</c:v>
                </c:pt>
                <c:pt idx="57">
                  <c:v>-38444</c:v>
                </c:pt>
                <c:pt idx="58">
                  <c:v>-38444</c:v>
                </c:pt>
                <c:pt idx="59">
                  <c:v>-38444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22-44B6-BA0C-3C8DF72A8375}"/>
            </c:ext>
          </c:extLst>
        </c:ser>
        <c:ser>
          <c:idx val="2"/>
          <c:order val="2"/>
          <c:tx>
            <c:strRef>
              <c:f>Calculations!$D$44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Calculations!$E$41:$BL$41</c:f>
              <c:strCache>
                <c:ptCount val="60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</c:strCache>
            </c:strRef>
          </c:cat>
          <c:val>
            <c:numRef>
              <c:f>Calculations!$E$44:$BL$44</c:f>
              <c:numCache>
                <c:formatCode>#,##0</c:formatCode>
                <c:ptCount val="60"/>
                <c:pt idx="0">
                  <c:v>-2285</c:v>
                </c:pt>
                <c:pt idx="1">
                  <c:v>-2285</c:v>
                </c:pt>
                <c:pt idx="2">
                  <c:v>-2285</c:v>
                </c:pt>
                <c:pt idx="3">
                  <c:v>-2285</c:v>
                </c:pt>
                <c:pt idx="4">
                  <c:v>-2285</c:v>
                </c:pt>
                <c:pt idx="5">
                  <c:v>-2285</c:v>
                </c:pt>
                <c:pt idx="6">
                  <c:v>-2285</c:v>
                </c:pt>
                <c:pt idx="7">
                  <c:v>-2285</c:v>
                </c:pt>
                <c:pt idx="8">
                  <c:v>-2285</c:v>
                </c:pt>
                <c:pt idx="9">
                  <c:v>-2285</c:v>
                </c:pt>
                <c:pt idx="10">
                  <c:v>-2285</c:v>
                </c:pt>
                <c:pt idx="11">
                  <c:v>-2285</c:v>
                </c:pt>
                <c:pt idx="12">
                  <c:v>-2285</c:v>
                </c:pt>
                <c:pt idx="13">
                  <c:v>-2285</c:v>
                </c:pt>
                <c:pt idx="14">
                  <c:v>-2285</c:v>
                </c:pt>
                <c:pt idx="15">
                  <c:v>-2285</c:v>
                </c:pt>
                <c:pt idx="16">
                  <c:v>-2285</c:v>
                </c:pt>
                <c:pt idx="17">
                  <c:v>-2285</c:v>
                </c:pt>
                <c:pt idx="18">
                  <c:v>-2285</c:v>
                </c:pt>
                <c:pt idx="19">
                  <c:v>-2285</c:v>
                </c:pt>
                <c:pt idx="20">
                  <c:v>-2285</c:v>
                </c:pt>
                <c:pt idx="21">
                  <c:v>-2285</c:v>
                </c:pt>
                <c:pt idx="22">
                  <c:v>-2285</c:v>
                </c:pt>
                <c:pt idx="23">
                  <c:v>-2285</c:v>
                </c:pt>
                <c:pt idx="24">
                  <c:v>-2285</c:v>
                </c:pt>
                <c:pt idx="25">
                  <c:v>-2285</c:v>
                </c:pt>
                <c:pt idx="26">
                  <c:v>-2285</c:v>
                </c:pt>
                <c:pt idx="27">
                  <c:v>-2285</c:v>
                </c:pt>
                <c:pt idx="28">
                  <c:v>-2285</c:v>
                </c:pt>
                <c:pt idx="29">
                  <c:v>-2285</c:v>
                </c:pt>
                <c:pt idx="30">
                  <c:v>-2285</c:v>
                </c:pt>
                <c:pt idx="31">
                  <c:v>-2285</c:v>
                </c:pt>
                <c:pt idx="32">
                  <c:v>-2285</c:v>
                </c:pt>
                <c:pt idx="33">
                  <c:v>-2285</c:v>
                </c:pt>
                <c:pt idx="34">
                  <c:v>-2285</c:v>
                </c:pt>
                <c:pt idx="35">
                  <c:v>-2285</c:v>
                </c:pt>
                <c:pt idx="36">
                  <c:v>-28713</c:v>
                </c:pt>
                <c:pt idx="37">
                  <c:v>-28713</c:v>
                </c:pt>
                <c:pt idx="38">
                  <c:v>-28713</c:v>
                </c:pt>
                <c:pt idx="39">
                  <c:v>-28713</c:v>
                </c:pt>
                <c:pt idx="40">
                  <c:v>-28713</c:v>
                </c:pt>
                <c:pt idx="41">
                  <c:v>-28713</c:v>
                </c:pt>
                <c:pt idx="42">
                  <c:v>-28713</c:v>
                </c:pt>
                <c:pt idx="43">
                  <c:v>-28713</c:v>
                </c:pt>
                <c:pt idx="44">
                  <c:v>-28713</c:v>
                </c:pt>
                <c:pt idx="45">
                  <c:v>-28713</c:v>
                </c:pt>
                <c:pt idx="46">
                  <c:v>-28713</c:v>
                </c:pt>
                <c:pt idx="47">
                  <c:v>-17479</c:v>
                </c:pt>
                <c:pt idx="48">
                  <c:v>-28713</c:v>
                </c:pt>
                <c:pt idx="49">
                  <c:v>-28713</c:v>
                </c:pt>
                <c:pt idx="50">
                  <c:v>-28713</c:v>
                </c:pt>
                <c:pt idx="51">
                  <c:v>-28713</c:v>
                </c:pt>
                <c:pt idx="52">
                  <c:v>-28713</c:v>
                </c:pt>
                <c:pt idx="53">
                  <c:v>-28713</c:v>
                </c:pt>
                <c:pt idx="54">
                  <c:v>-28713</c:v>
                </c:pt>
                <c:pt idx="55">
                  <c:v>-28713</c:v>
                </c:pt>
                <c:pt idx="56">
                  <c:v>-28713</c:v>
                </c:pt>
                <c:pt idx="57">
                  <c:v>-28713</c:v>
                </c:pt>
                <c:pt idx="58">
                  <c:v>-28713</c:v>
                </c:pt>
                <c:pt idx="59">
                  <c:v>-17479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22-44B6-BA0C-3C8DF72A8375}"/>
            </c:ext>
          </c:extLst>
        </c:ser>
        <c:ser>
          <c:idx val="3"/>
          <c:order val="3"/>
          <c:tx>
            <c:strRef>
              <c:f>Calculations!$D$45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Calculations!$E$41:$BL$41</c:f>
              <c:strCache>
                <c:ptCount val="60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</c:strCache>
            </c:strRef>
          </c:cat>
          <c:val>
            <c:numRef>
              <c:f>Calculations!$E$45:$BL$45</c:f>
              <c:numCache>
                <c:formatCode>#,##0</c:formatCode>
                <c:ptCount val="60"/>
                <c:pt idx="0">
                  <c:v>-4063</c:v>
                </c:pt>
                <c:pt idx="1">
                  <c:v>-4063</c:v>
                </c:pt>
                <c:pt idx="2">
                  <c:v>-4063</c:v>
                </c:pt>
                <c:pt idx="3">
                  <c:v>-4063</c:v>
                </c:pt>
                <c:pt idx="4">
                  <c:v>-4063</c:v>
                </c:pt>
                <c:pt idx="5">
                  <c:v>-4063</c:v>
                </c:pt>
                <c:pt idx="6">
                  <c:v>-4063</c:v>
                </c:pt>
                <c:pt idx="7">
                  <c:v>-4063</c:v>
                </c:pt>
                <c:pt idx="8">
                  <c:v>-4063</c:v>
                </c:pt>
                <c:pt idx="9">
                  <c:v>-4063</c:v>
                </c:pt>
                <c:pt idx="10">
                  <c:v>-4063</c:v>
                </c:pt>
                <c:pt idx="11">
                  <c:v>-4063</c:v>
                </c:pt>
                <c:pt idx="12">
                  <c:v>-4063</c:v>
                </c:pt>
                <c:pt idx="13">
                  <c:v>-4063</c:v>
                </c:pt>
                <c:pt idx="14">
                  <c:v>-4063</c:v>
                </c:pt>
                <c:pt idx="15">
                  <c:v>-4063</c:v>
                </c:pt>
                <c:pt idx="16">
                  <c:v>-4063</c:v>
                </c:pt>
                <c:pt idx="17">
                  <c:v>-4063</c:v>
                </c:pt>
                <c:pt idx="18">
                  <c:v>-4063</c:v>
                </c:pt>
                <c:pt idx="19">
                  <c:v>-4063</c:v>
                </c:pt>
                <c:pt idx="20">
                  <c:v>-4063</c:v>
                </c:pt>
                <c:pt idx="21">
                  <c:v>-4063</c:v>
                </c:pt>
                <c:pt idx="22">
                  <c:v>-4063</c:v>
                </c:pt>
                <c:pt idx="23">
                  <c:v>-4063</c:v>
                </c:pt>
                <c:pt idx="24">
                  <c:v>-45063</c:v>
                </c:pt>
                <c:pt idx="25">
                  <c:v>-45063</c:v>
                </c:pt>
                <c:pt idx="26">
                  <c:v>-45063</c:v>
                </c:pt>
                <c:pt idx="27">
                  <c:v>-45063</c:v>
                </c:pt>
                <c:pt idx="28">
                  <c:v>-45063</c:v>
                </c:pt>
                <c:pt idx="29">
                  <c:v>-45063</c:v>
                </c:pt>
                <c:pt idx="30">
                  <c:v>-45063</c:v>
                </c:pt>
                <c:pt idx="31">
                  <c:v>-45063</c:v>
                </c:pt>
                <c:pt idx="32">
                  <c:v>-45063</c:v>
                </c:pt>
                <c:pt idx="33">
                  <c:v>-45063</c:v>
                </c:pt>
                <c:pt idx="34">
                  <c:v>-45063</c:v>
                </c:pt>
                <c:pt idx="35">
                  <c:v>-45063</c:v>
                </c:pt>
                <c:pt idx="36">
                  <c:v>-45063</c:v>
                </c:pt>
                <c:pt idx="37">
                  <c:v>-45063</c:v>
                </c:pt>
                <c:pt idx="38">
                  <c:v>-45063</c:v>
                </c:pt>
                <c:pt idx="39">
                  <c:v>-45063</c:v>
                </c:pt>
                <c:pt idx="40">
                  <c:v>-45063</c:v>
                </c:pt>
                <c:pt idx="41">
                  <c:v>-45063</c:v>
                </c:pt>
                <c:pt idx="42">
                  <c:v>-45063</c:v>
                </c:pt>
                <c:pt idx="43">
                  <c:v>-45063</c:v>
                </c:pt>
                <c:pt idx="44">
                  <c:v>-45063</c:v>
                </c:pt>
                <c:pt idx="45">
                  <c:v>-45063</c:v>
                </c:pt>
                <c:pt idx="46">
                  <c:v>-45063</c:v>
                </c:pt>
                <c:pt idx="47">
                  <c:v>-45063</c:v>
                </c:pt>
                <c:pt idx="48">
                  <c:v>-45063</c:v>
                </c:pt>
                <c:pt idx="49">
                  <c:v>-45063</c:v>
                </c:pt>
                <c:pt idx="50">
                  <c:v>-45063</c:v>
                </c:pt>
                <c:pt idx="51">
                  <c:v>-45063</c:v>
                </c:pt>
                <c:pt idx="52">
                  <c:v>-45063</c:v>
                </c:pt>
                <c:pt idx="53">
                  <c:v>-45063</c:v>
                </c:pt>
                <c:pt idx="54">
                  <c:v>-45063</c:v>
                </c:pt>
                <c:pt idx="55">
                  <c:v>-45063</c:v>
                </c:pt>
                <c:pt idx="56">
                  <c:v>-45063</c:v>
                </c:pt>
                <c:pt idx="57">
                  <c:v>-45063</c:v>
                </c:pt>
                <c:pt idx="58">
                  <c:v>-45063</c:v>
                </c:pt>
                <c:pt idx="59">
                  <c:v>-45063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22-44B6-BA0C-3C8DF72A8375}"/>
            </c:ext>
          </c:extLst>
        </c:ser>
        <c:ser>
          <c:idx val="4"/>
          <c:order val="4"/>
          <c:tx>
            <c:strRef>
              <c:f>Calculations!$D$46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Calculations!$E$41:$BL$41</c:f>
              <c:strCache>
                <c:ptCount val="60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</c:strCache>
            </c:strRef>
          </c:cat>
          <c:val>
            <c:numRef>
              <c:f>Calculations!$E$46:$BL$46</c:f>
              <c:numCache>
                <c:formatCode>#,##0</c:formatCode>
                <c:ptCount val="60"/>
                <c:pt idx="0">
                  <c:v>424833</c:v>
                </c:pt>
                <c:pt idx="1">
                  <c:v>444259</c:v>
                </c:pt>
                <c:pt idx="2">
                  <c:v>473068</c:v>
                </c:pt>
                <c:pt idx="3">
                  <c:v>474558</c:v>
                </c:pt>
                <c:pt idx="4">
                  <c:v>479798</c:v>
                </c:pt>
                <c:pt idx="5">
                  <c:v>515933</c:v>
                </c:pt>
                <c:pt idx="6">
                  <c:v>493708</c:v>
                </c:pt>
                <c:pt idx="7">
                  <c:v>522253</c:v>
                </c:pt>
                <c:pt idx="8">
                  <c:v>533023</c:v>
                </c:pt>
                <c:pt idx="9">
                  <c:v>591933</c:v>
                </c:pt>
                <c:pt idx="10">
                  <c:v>602488</c:v>
                </c:pt>
                <c:pt idx="11">
                  <c:v>623332</c:v>
                </c:pt>
                <c:pt idx="12">
                  <c:v>724561.57200000016</c:v>
                </c:pt>
                <c:pt idx="13">
                  <c:v>735619.30799999996</c:v>
                </c:pt>
                <c:pt idx="14">
                  <c:v>743902.04399999999</c:v>
                </c:pt>
                <c:pt idx="15">
                  <c:v>751919.78</c:v>
                </c:pt>
                <c:pt idx="16">
                  <c:v>748538.41200000001</c:v>
                </c:pt>
                <c:pt idx="17">
                  <c:v>753800.12199999986</c:v>
                </c:pt>
                <c:pt idx="18">
                  <c:v>770955.9360000001</c:v>
                </c:pt>
                <c:pt idx="19">
                  <c:v>766833.5419999999</c:v>
                </c:pt>
                <c:pt idx="20">
                  <c:v>790486.40800000005</c:v>
                </c:pt>
                <c:pt idx="21">
                  <c:v>793459.76300000004</c:v>
                </c:pt>
                <c:pt idx="22">
                  <c:v>777966.96200000006</c:v>
                </c:pt>
                <c:pt idx="23">
                  <c:v>794074.31700000004</c:v>
                </c:pt>
                <c:pt idx="24">
                  <c:v>602150</c:v>
                </c:pt>
                <c:pt idx="25">
                  <c:v>609575</c:v>
                </c:pt>
                <c:pt idx="26">
                  <c:v>569720</c:v>
                </c:pt>
                <c:pt idx="27">
                  <c:v>917770</c:v>
                </c:pt>
                <c:pt idx="28">
                  <c:v>578130</c:v>
                </c:pt>
                <c:pt idx="29">
                  <c:v>584725</c:v>
                </c:pt>
                <c:pt idx="30">
                  <c:v>601420</c:v>
                </c:pt>
                <c:pt idx="31">
                  <c:v>593185</c:v>
                </c:pt>
                <c:pt idx="32">
                  <c:v>615815</c:v>
                </c:pt>
                <c:pt idx="33">
                  <c:v>618420</c:v>
                </c:pt>
                <c:pt idx="34">
                  <c:v>627395</c:v>
                </c:pt>
                <c:pt idx="35">
                  <c:v>659785</c:v>
                </c:pt>
                <c:pt idx="36">
                  <c:v>813668</c:v>
                </c:pt>
                <c:pt idx="37">
                  <c:v>835328</c:v>
                </c:pt>
                <c:pt idx="38">
                  <c:v>841843</c:v>
                </c:pt>
                <c:pt idx="39">
                  <c:v>847978</c:v>
                </c:pt>
                <c:pt idx="40">
                  <c:v>854023</c:v>
                </c:pt>
                <c:pt idx="41">
                  <c:v>860158</c:v>
                </c:pt>
                <c:pt idx="42">
                  <c:v>866673</c:v>
                </c:pt>
                <c:pt idx="43">
                  <c:v>890153</c:v>
                </c:pt>
                <c:pt idx="44">
                  <c:v>897528</c:v>
                </c:pt>
                <c:pt idx="45">
                  <c:v>904333</c:v>
                </c:pt>
                <c:pt idx="46">
                  <c:v>917613</c:v>
                </c:pt>
                <c:pt idx="47">
                  <c:v>936722</c:v>
                </c:pt>
                <c:pt idx="48">
                  <c:v>931153</c:v>
                </c:pt>
                <c:pt idx="49">
                  <c:v>937668</c:v>
                </c:pt>
                <c:pt idx="50">
                  <c:v>956598</c:v>
                </c:pt>
                <c:pt idx="51">
                  <c:v>962408</c:v>
                </c:pt>
                <c:pt idx="52">
                  <c:v>968923</c:v>
                </c:pt>
                <c:pt idx="53">
                  <c:v>974588</c:v>
                </c:pt>
                <c:pt idx="54">
                  <c:v>990848</c:v>
                </c:pt>
                <c:pt idx="55">
                  <c:v>996983</c:v>
                </c:pt>
                <c:pt idx="56">
                  <c:v>1020698</c:v>
                </c:pt>
                <c:pt idx="57">
                  <c:v>1027213</c:v>
                </c:pt>
                <c:pt idx="58">
                  <c:v>1034108</c:v>
                </c:pt>
                <c:pt idx="59">
                  <c:v>1054137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22-44B6-BA0C-3C8DF72A8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8115903"/>
        <c:axId val="1978131263"/>
      </c:barChart>
      <c:catAx>
        <c:axId val="1978115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131263"/>
        <c:crosses val="autoZero"/>
        <c:auto val="1"/>
        <c:lblAlgn val="ctr"/>
        <c:lblOffset val="100"/>
        <c:noMultiLvlLbl val="0"/>
      </c:catAx>
      <c:valAx>
        <c:axId val="197813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115903"/>
        <c:crosses val="autoZero"/>
        <c:crossBetween val="between"/>
        <c:majorUnit val="20000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Cash Flow 2024 - 2025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Calculations!$D$49</c:f>
              <c:strCache>
                <c:ptCount val="1"/>
                <c:pt idx="0">
                  <c:v>Cash Inflow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Calculations!$E$49:$AB$49</c:f>
              <c:numCache>
                <c:formatCode>#,##0</c:formatCode>
                <c:ptCount val="24"/>
                <c:pt idx="0">
                  <c:v>330030</c:v>
                </c:pt>
                <c:pt idx="1">
                  <c:v>430451</c:v>
                </c:pt>
                <c:pt idx="2">
                  <c:v>361850</c:v>
                </c:pt>
                <c:pt idx="3">
                  <c:v>451050</c:v>
                </c:pt>
                <c:pt idx="4">
                  <c:v>366785</c:v>
                </c:pt>
                <c:pt idx="5">
                  <c:v>392080</c:v>
                </c:pt>
                <c:pt idx="6">
                  <c:v>371015</c:v>
                </c:pt>
                <c:pt idx="7">
                  <c:v>390505</c:v>
                </c:pt>
                <c:pt idx="8">
                  <c:v>397210</c:v>
                </c:pt>
                <c:pt idx="9">
                  <c:v>441485</c:v>
                </c:pt>
                <c:pt idx="10">
                  <c:v>448480</c:v>
                </c:pt>
                <c:pt idx="11">
                  <c:v>449900</c:v>
                </c:pt>
                <c:pt idx="12">
                  <c:v>546073.22800000012</c:v>
                </c:pt>
                <c:pt idx="13">
                  <c:v>553703.89199999999</c:v>
                </c:pt>
                <c:pt idx="14">
                  <c:v>559369.55599999998</c:v>
                </c:pt>
                <c:pt idx="15">
                  <c:v>564920.22</c:v>
                </c:pt>
                <c:pt idx="16">
                  <c:v>562607.38800000004</c:v>
                </c:pt>
                <c:pt idx="17">
                  <c:v>566182.17799999996</c:v>
                </c:pt>
                <c:pt idx="18">
                  <c:v>578025.46400000004</c:v>
                </c:pt>
                <c:pt idx="19">
                  <c:v>575181.75799999991</c:v>
                </c:pt>
                <c:pt idx="20">
                  <c:v>591486.79200000002</c:v>
                </c:pt>
                <c:pt idx="21">
                  <c:v>593524.18699999992</c:v>
                </c:pt>
                <c:pt idx="22">
                  <c:v>582881.33799999999</c:v>
                </c:pt>
                <c:pt idx="23">
                  <c:v>586218.73300000001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F-4ED8-8969-3D34DD6886D8}"/>
            </c:ext>
          </c:extLst>
        </c:ser>
        <c:ser>
          <c:idx val="1"/>
          <c:order val="1"/>
          <c:tx>
            <c:strRef>
              <c:f>Calculations!$D$50</c:f>
              <c:strCache>
                <c:ptCount val="1"/>
                <c:pt idx="0">
                  <c:v>Cash Outflow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Calculations!$E$50:$AB$50</c:f>
              <c:numCache>
                <c:formatCode>#,##0</c:formatCode>
                <c:ptCount val="24"/>
                <c:pt idx="0">
                  <c:v>-172446</c:v>
                </c:pt>
                <c:pt idx="1">
                  <c:v>-189166.60000000003</c:v>
                </c:pt>
                <c:pt idx="2">
                  <c:v>-172082.8</c:v>
                </c:pt>
                <c:pt idx="3">
                  <c:v>-186559.2</c:v>
                </c:pt>
                <c:pt idx="4">
                  <c:v>-166342.6</c:v>
                </c:pt>
                <c:pt idx="5">
                  <c:v>-168038</c:v>
                </c:pt>
                <c:pt idx="6">
                  <c:v>-160461.40000000002</c:v>
                </c:pt>
                <c:pt idx="7">
                  <c:v>-160995.79999999999</c:v>
                </c:pt>
                <c:pt idx="8">
                  <c:v>-158973.20000000001</c:v>
                </c:pt>
                <c:pt idx="9">
                  <c:v>-164464.6</c:v>
                </c:pt>
                <c:pt idx="10">
                  <c:v>-162500</c:v>
                </c:pt>
                <c:pt idx="11">
                  <c:v>-159420.40000000002</c:v>
                </c:pt>
                <c:pt idx="12">
                  <c:v>-175291.44560000004</c:v>
                </c:pt>
                <c:pt idx="13">
                  <c:v>-173453.97840000002</c:v>
                </c:pt>
                <c:pt idx="14">
                  <c:v>-171223.51120000001</c:v>
                </c:pt>
                <c:pt idx="15">
                  <c:v>-168970.04399999999</c:v>
                </c:pt>
                <c:pt idx="16">
                  <c:v>-165143.87760000001</c:v>
                </c:pt>
                <c:pt idx="17">
                  <c:v>-162495.23560000001</c:v>
                </c:pt>
                <c:pt idx="18">
                  <c:v>-161500.29280000002</c:v>
                </c:pt>
                <c:pt idx="19">
                  <c:v>-157567.9516</c:v>
                </c:pt>
                <c:pt idx="20">
                  <c:v>-157465.35840000003</c:v>
                </c:pt>
                <c:pt idx="21">
                  <c:v>-154509.23739999998</c:v>
                </c:pt>
                <c:pt idx="22">
                  <c:v>-149017.06760000001</c:v>
                </c:pt>
                <c:pt idx="23">
                  <c:v>-146320.94660000002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F-4ED8-8969-3D34DD6886D8}"/>
            </c:ext>
          </c:extLst>
        </c:ser>
        <c:ser>
          <c:idx val="2"/>
          <c:order val="2"/>
          <c:tx>
            <c:strRef>
              <c:f>Calculations!$D$51</c:f>
              <c:strCache>
                <c:ptCount val="1"/>
                <c:pt idx="0">
                  <c:v>Net Cash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Calculations!$E$51:$AB$51</c:f>
              <c:numCache>
                <c:formatCode>#,##0</c:formatCode>
                <c:ptCount val="24"/>
                <c:pt idx="0">
                  <c:v>157584</c:v>
                </c:pt>
                <c:pt idx="1">
                  <c:v>224466.39999999997</c:v>
                </c:pt>
                <c:pt idx="2">
                  <c:v>172949.2</c:v>
                </c:pt>
                <c:pt idx="3">
                  <c:v>247672.8</c:v>
                </c:pt>
                <c:pt idx="4">
                  <c:v>183624.4</c:v>
                </c:pt>
                <c:pt idx="5">
                  <c:v>207224</c:v>
                </c:pt>
                <c:pt idx="6">
                  <c:v>193735.59999999998</c:v>
                </c:pt>
                <c:pt idx="7">
                  <c:v>212691.20000000001</c:v>
                </c:pt>
                <c:pt idx="8">
                  <c:v>221418.8</c:v>
                </c:pt>
                <c:pt idx="9">
                  <c:v>260202.40000000002</c:v>
                </c:pt>
                <c:pt idx="10">
                  <c:v>269162</c:v>
                </c:pt>
                <c:pt idx="11">
                  <c:v>273661.59999999998</c:v>
                </c:pt>
                <c:pt idx="12">
                  <c:v>353963.78240000008</c:v>
                </c:pt>
                <c:pt idx="13">
                  <c:v>363431.91359999997</c:v>
                </c:pt>
                <c:pt idx="14">
                  <c:v>371328.04479999997</c:v>
                </c:pt>
                <c:pt idx="15">
                  <c:v>379132.17599999998</c:v>
                </c:pt>
                <c:pt idx="16">
                  <c:v>380645.51040000003</c:v>
                </c:pt>
                <c:pt idx="17">
                  <c:v>386868.94239999994</c:v>
                </c:pt>
                <c:pt idx="18">
                  <c:v>399707.17119999998</c:v>
                </c:pt>
                <c:pt idx="19">
                  <c:v>400795.80639999988</c:v>
                </c:pt>
                <c:pt idx="20">
                  <c:v>417203.43359999999</c:v>
                </c:pt>
                <c:pt idx="21">
                  <c:v>422196.94959999993</c:v>
                </c:pt>
                <c:pt idx="22">
                  <c:v>417046.27039999998</c:v>
                </c:pt>
                <c:pt idx="23">
                  <c:v>423079.78639999998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2F-4ED8-8969-3D34DD688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794943"/>
        <c:axId val="117794463"/>
      </c:barChart>
      <c:catAx>
        <c:axId val="117794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94463"/>
        <c:crosses val="autoZero"/>
        <c:auto val="1"/>
        <c:lblAlgn val="ctr"/>
        <c:lblOffset val="100"/>
        <c:noMultiLvlLbl val="0"/>
      </c:catAx>
      <c:valAx>
        <c:axId val="11779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9494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KPIs 2025 - 2026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Calculations!$D$42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Calculations!$Q$41:$AN$41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Calculations!$Q$42:$AN$42</c:f>
              <c:numCache>
                <c:formatCode>#,##0</c:formatCode>
                <c:ptCount val="24"/>
                <c:pt idx="0">
                  <c:v>546073.22800000012</c:v>
                </c:pt>
                <c:pt idx="1">
                  <c:v>553703.89199999999</c:v>
                </c:pt>
                <c:pt idx="2">
                  <c:v>559369.55599999998</c:v>
                </c:pt>
                <c:pt idx="3">
                  <c:v>564920.22</c:v>
                </c:pt>
                <c:pt idx="4">
                  <c:v>562607.38800000004</c:v>
                </c:pt>
                <c:pt idx="5">
                  <c:v>566182.17799999996</c:v>
                </c:pt>
                <c:pt idx="6">
                  <c:v>578025.46400000004</c:v>
                </c:pt>
                <c:pt idx="7">
                  <c:v>575181.75799999991</c:v>
                </c:pt>
                <c:pt idx="8">
                  <c:v>591486.79200000002</c:v>
                </c:pt>
                <c:pt idx="9">
                  <c:v>593524.18699999992</c:v>
                </c:pt>
                <c:pt idx="10">
                  <c:v>582881.33799999999</c:v>
                </c:pt>
                <c:pt idx="11">
                  <c:v>586218.73300000001</c:v>
                </c:pt>
                <c:pt idx="12">
                  <c:v>604075</c:v>
                </c:pt>
                <c:pt idx="13">
                  <c:v>611500</c:v>
                </c:pt>
                <c:pt idx="14">
                  <c:v>571645</c:v>
                </c:pt>
                <c:pt idx="15">
                  <c:v>919695</c:v>
                </c:pt>
                <c:pt idx="16">
                  <c:v>580055</c:v>
                </c:pt>
                <c:pt idx="17">
                  <c:v>586650</c:v>
                </c:pt>
                <c:pt idx="18">
                  <c:v>603345</c:v>
                </c:pt>
                <c:pt idx="19">
                  <c:v>595110</c:v>
                </c:pt>
                <c:pt idx="20">
                  <c:v>617740</c:v>
                </c:pt>
                <c:pt idx="21">
                  <c:v>620345</c:v>
                </c:pt>
                <c:pt idx="22">
                  <c:v>629320</c:v>
                </c:pt>
                <c:pt idx="23">
                  <c:v>661710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3-4BFB-B25E-3A101B0E1229}"/>
            </c:ext>
          </c:extLst>
        </c:ser>
        <c:ser>
          <c:idx val="1"/>
          <c:order val="1"/>
          <c:tx>
            <c:strRef>
              <c:f>Calculations!$D$43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73-4BFB-B25E-3A101B0E1229}"/>
              </c:ext>
            </c:extLst>
          </c:dPt>
          <c:cat>
            <c:strRef>
              <c:f>Calculations!$Q$41:$AN$41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Calculations!$Q$43:$AN$43</c:f>
              <c:numCache>
                <c:formatCode>#,##0</c:formatCode>
                <c:ptCount val="24"/>
                <c:pt idx="0">
                  <c:v>-10390</c:v>
                </c:pt>
                <c:pt idx="1">
                  <c:v>-10390</c:v>
                </c:pt>
                <c:pt idx="2">
                  <c:v>-10390</c:v>
                </c:pt>
                <c:pt idx="3">
                  <c:v>-10390</c:v>
                </c:pt>
                <c:pt idx="4">
                  <c:v>-10390</c:v>
                </c:pt>
                <c:pt idx="5">
                  <c:v>-10390</c:v>
                </c:pt>
                <c:pt idx="6">
                  <c:v>-10390</c:v>
                </c:pt>
                <c:pt idx="7">
                  <c:v>-10390</c:v>
                </c:pt>
                <c:pt idx="8">
                  <c:v>-10390</c:v>
                </c:pt>
                <c:pt idx="9">
                  <c:v>-10390</c:v>
                </c:pt>
                <c:pt idx="10">
                  <c:v>-10390</c:v>
                </c:pt>
                <c:pt idx="11">
                  <c:v>-10390</c:v>
                </c:pt>
                <c:pt idx="12">
                  <c:v>8610</c:v>
                </c:pt>
                <c:pt idx="13">
                  <c:v>8610</c:v>
                </c:pt>
                <c:pt idx="14">
                  <c:v>8610</c:v>
                </c:pt>
                <c:pt idx="15">
                  <c:v>8610</c:v>
                </c:pt>
                <c:pt idx="16">
                  <c:v>8610</c:v>
                </c:pt>
                <c:pt idx="17">
                  <c:v>8610</c:v>
                </c:pt>
                <c:pt idx="18">
                  <c:v>8610</c:v>
                </c:pt>
                <c:pt idx="19">
                  <c:v>8610</c:v>
                </c:pt>
                <c:pt idx="20">
                  <c:v>8610</c:v>
                </c:pt>
                <c:pt idx="21">
                  <c:v>8610</c:v>
                </c:pt>
                <c:pt idx="22">
                  <c:v>8610</c:v>
                </c:pt>
                <c:pt idx="23">
                  <c:v>8610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73-4BFB-B25E-3A101B0E1229}"/>
            </c:ext>
          </c:extLst>
        </c:ser>
        <c:ser>
          <c:idx val="2"/>
          <c:order val="2"/>
          <c:tx>
            <c:strRef>
              <c:f>Calculations!$D$44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Calculations!$Q$41:$AN$41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Calculations!$Q$44:$AN$44</c:f>
              <c:numCache>
                <c:formatCode>#,##0</c:formatCode>
                <c:ptCount val="24"/>
                <c:pt idx="0">
                  <c:v>-2285</c:v>
                </c:pt>
                <c:pt idx="1">
                  <c:v>-2285</c:v>
                </c:pt>
                <c:pt idx="2">
                  <c:v>-2285</c:v>
                </c:pt>
                <c:pt idx="3">
                  <c:v>-2285</c:v>
                </c:pt>
                <c:pt idx="4">
                  <c:v>-2285</c:v>
                </c:pt>
                <c:pt idx="5">
                  <c:v>-2285</c:v>
                </c:pt>
                <c:pt idx="6">
                  <c:v>-2285</c:v>
                </c:pt>
                <c:pt idx="7">
                  <c:v>-2285</c:v>
                </c:pt>
                <c:pt idx="8">
                  <c:v>-2285</c:v>
                </c:pt>
                <c:pt idx="9">
                  <c:v>-2285</c:v>
                </c:pt>
                <c:pt idx="10">
                  <c:v>-2285</c:v>
                </c:pt>
                <c:pt idx="11">
                  <c:v>-2285</c:v>
                </c:pt>
                <c:pt idx="12">
                  <c:v>-2285</c:v>
                </c:pt>
                <c:pt idx="13">
                  <c:v>-2285</c:v>
                </c:pt>
                <c:pt idx="14">
                  <c:v>-2285</c:v>
                </c:pt>
                <c:pt idx="15">
                  <c:v>-2285</c:v>
                </c:pt>
                <c:pt idx="16">
                  <c:v>-2285</c:v>
                </c:pt>
                <c:pt idx="17">
                  <c:v>-2285</c:v>
                </c:pt>
                <c:pt idx="18">
                  <c:v>-2285</c:v>
                </c:pt>
                <c:pt idx="19">
                  <c:v>-2285</c:v>
                </c:pt>
                <c:pt idx="20">
                  <c:v>-2285</c:v>
                </c:pt>
                <c:pt idx="21">
                  <c:v>-2285</c:v>
                </c:pt>
                <c:pt idx="22">
                  <c:v>-2285</c:v>
                </c:pt>
                <c:pt idx="23">
                  <c:v>-2285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73-4BFB-B25E-3A101B0E1229}"/>
            </c:ext>
          </c:extLst>
        </c:ser>
        <c:ser>
          <c:idx val="3"/>
          <c:order val="3"/>
          <c:tx>
            <c:strRef>
              <c:f>Calculations!$D$45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Calculations!$Q$41:$AN$41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Calculations!$Q$45:$AN$45</c:f>
              <c:numCache>
                <c:formatCode>#,##0</c:formatCode>
                <c:ptCount val="24"/>
                <c:pt idx="0">
                  <c:v>-4063</c:v>
                </c:pt>
                <c:pt idx="1">
                  <c:v>-4063</c:v>
                </c:pt>
                <c:pt idx="2">
                  <c:v>-4063</c:v>
                </c:pt>
                <c:pt idx="3">
                  <c:v>-4063</c:v>
                </c:pt>
                <c:pt idx="4">
                  <c:v>-4063</c:v>
                </c:pt>
                <c:pt idx="5">
                  <c:v>-4063</c:v>
                </c:pt>
                <c:pt idx="6">
                  <c:v>-4063</c:v>
                </c:pt>
                <c:pt idx="7">
                  <c:v>-4063</c:v>
                </c:pt>
                <c:pt idx="8">
                  <c:v>-4063</c:v>
                </c:pt>
                <c:pt idx="9">
                  <c:v>-4063</c:v>
                </c:pt>
                <c:pt idx="10">
                  <c:v>-4063</c:v>
                </c:pt>
                <c:pt idx="11">
                  <c:v>-4063</c:v>
                </c:pt>
                <c:pt idx="12">
                  <c:v>-45063</c:v>
                </c:pt>
                <c:pt idx="13">
                  <c:v>-45063</c:v>
                </c:pt>
                <c:pt idx="14">
                  <c:v>-45063</c:v>
                </c:pt>
                <c:pt idx="15">
                  <c:v>-45063</c:v>
                </c:pt>
                <c:pt idx="16">
                  <c:v>-45063</c:v>
                </c:pt>
                <c:pt idx="17">
                  <c:v>-45063</c:v>
                </c:pt>
                <c:pt idx="18">
                  <c:v>-45063</c:v>
                </c:pt>
                <c:pt idx="19">
                  <c:v>-45063</c:v>
                </c:pt>
                <c:pt idx="20">
                  <c:v>-45063</c:v>
                </c:pt>
                <c:pt idx="21">
                  <c:v>-45063</c:v>
                </c:pt>
                <c:pt idx="22">
                  <c:v>-45063</c:v>
                </c:pt>
                <c:pt idx="23">
                  <c:v>-45063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73-4BFB-B25E-3A101B0E1229}"/>
            </c:ext>
          </c:extLst>
        </c:ser>
        <c:ser>
          <c:idx val="4"/>
          <c:order val="4"/>
          <c:tx>
            <c:strRef>
              <c:f>Calculations!$D$46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Calculations!$Q$41:$AN$41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Calculations!$Q$46:$AN$46</c:f>
              <c:numCache>
                <c:formatCode>#,##0</c:formatCode>
                <c:ptCount val="24"/>
                <c:pt idx="0">
                  <c:v>724561.57200000016</c:v>
                </c:pt>
                <c:pt idx="1">
                  <c:v>735619.30799999996</c:v>
                </c:pt>
                <c:pt idx="2">
                  <c:v>743902.04399999999</c:v>
                </c:pt>
                <c:pt idx="3">
                  <c:v>751919.78</c:v>
                </c:pt>
                <c:pt idx="4">
                  <c:v>748538.41200000001</c:v>
                </c:pt>
                <c:pt idx="5">
                  <c:v>753800.12199999986</c:v>
                </c:pt>
                <c:pt idx="6">
                  <c:v>770955.9360000001</c:v>
                </c:pt>
                <c:pt idx="7">
                  <c:v>766833.5419999999</c:v>
                </c:pt>
                <c:pt idx="8">
                  <c:v>790486.40800000005</c:v>
                </c:pt>
                <c:pt idx="9">
                  <c:v>793459.76300000004</c:v>
                </c:pt>
                <c:pt idx="10">
                  <c:v>777966.96200000006</c:v>
                </c:pt>
                <c:pt idx="11">
                  <c:v>794074.31700000004</c:v>
                </c:pt>
                <c:pt idx="12">
                  <c:v>602150</c:v>
                </c:pt>
                <c:pt idx="13">
                  <c:v>609575</c:v>
                </c:pt>
                <c:pt idx="14">
                  <c:v>569720</c:v>
                </c:pt>
                <c:pt idx="15">
                  <c:v>917770</c:v>
                </c:pt>
                <c:pt idx="16">
                  <c:v>578130</c:v>
                </c:pt>
                <c:pt idx="17">
                  <c:v>584725</c:v>
                </c:pt>
                <c:pt idx="18">
                  <c:v>601420</c:v>
                </c:pt>
                <c:pt idx="19">
                  <c:v>593185</c:v>
                </c:pt>
                <c:pt idx="20">
                  <c:v>615815</c:v>
                </c:pt>
                <c:pt idx="21">
                  <c:v>618420</c:v>
                </c:pt>
                <c:pt idx="22">
                  <c:v>627395</c:v>
                </c:pt>
                <c:pt idx="23">
                  <c:v>659785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73-4BFB-B25E-3A101B0E1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5"/>
        <c:overlap val="100"/>
        <c:axId val="1120472224"/>
        <c:axId val="1120468864"/>
      </c:barChart>
      <c:catAx>
        <c:axId val="112047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468864"/>
        <c:crosses val="autoZero"/>
        <c:auto val="1"/>
        <c:lblAlgn val="ctr"/>
        <c:lblOffset val="100"/>
        <c:noMultiLvlLbl val="0"/>
      </c:catAx>
      <c:valAx>
        <c:axId val="112046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472224"/>
        <c:crosses val="autoZero"/>
        <c:crossBetween val="between"/>
        <c:majorUnit val="20000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2024'!$E$8:$I$8</c:f>
              <c:numCache>
                <c:formatCode>#,##0</c:formatCode>
                <c:ptCount val="5"/>
                <c:pt idx="0">
                  <c:v>290479.59999999998</c:v>
                </c:pt>
                <c:pt idx="1">
                  <c:v>439897.78639999998</c:v>
                </c:pt>
                <c:pt idx="2">
                  <c:v>529128</c:v>
                </c:pt>
                <c:pt idx="3">
                  <c:v>807025.6</c:v>
                </c:pt>
                <c:pt idx="4">
                  <c:v>906857.6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5-436D-B9EC-7CC844A9F589}"/>
            </c:ext>
          </c:extLst>
        </c:ser>
        <c:ser>
          <c:idx val="1"/>
          <c:order val="1"/>
          <c:tx>
            <c:strRef>
              <c:f>'Statements Summary 2024'!$B$11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5-436D-B9EC-7CC844A9F589}"/>
            </c:ext>
          </c:extLst>
        </c:ser>
        <c:ser>
          <c:idx val="2"/>
          <c:order val="2"/>
          <c:tx>
            <c:strRef>
              <c:f>'Statements Summary 2024'!$B$15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2024'!$E$4:$I$4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2024'!$B$16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2024'!$E$16:$I$16</c:f>
              <c:numCache>
                <c:formatCode>#,##0</c:formatCode>
                <c:ptCount val="5"/>
                <c:pt idx="0">
                  <c:v>290479.59999999998</c:v>
                </c:pt>
                <c:pt idx="1">
                  <c:v>439897.78639999998</c:v>
                </c:pt>
                <c:pt idx="2">
                  <c:v>529128</c:v>
                </c:pt>
                <c:pt idx="3">
                  <c:v>807025.6</c:v>
                </c:pt>
                <c:pt idx="4">
                  <c:v>906857.6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55-436D-B9EC-7CC844A9F589}"/>
            </c:ext>
          </c:extLst>
        </c:ser>
        <c:ser>
          <c:idx val="4"/>
          <c:order val="4"/>
          <c:tx>
            <c:strRef>
              <c:f>'Statements Summary 2024'!$B$17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2024'!$E$17:$I$17</c:f>
              <c:numCache>
                <c:formatCode>#,##0</c:formatCode>
                <c:ptCount val="5"/>
                <c:pt idx="0">
                  <c:v>564141.19999999995</c:v>
                </c:pt>
                <c:pt idx="1">
                  <c:v>862977.57279999997</c:v>
                </c:pt>
                <c:pt idx="2">
                  <c:v>1058256</c:v>
                </c:pt>
                <c:pt idx="3">
                  <c:v>1614051.2000000002</c:v>
                </c:pt>
                <c:pt idx="4">
                  <c:v>1813715.2000000002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Cash Flow 2025 - 2026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Calculations!$D$49</c:f>
              <c:strCache>
                <c:ptCount val="1"/>
                <c:pt idx="0">
                  <c:v>Cash Inflow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Calculations!$Q$49:$AN$49</c:f>
              <c:numCache>
                <c:formatCode>#,##0</c:formatCode>
                <c:ptCount val="24"/>
                <c:pt idx="0">
                  <c:v>546073.22800000012</c:v>
                </c:pt>
                <c:pt idx="1">
                  <c:v>553703.89199999999</c:v>
                </c:pt>
                <c:pt idx="2">
                  <c:v>559369.55599999998</c:v>
                </c:pt>
                <c:pt idx="3">
                  <c:v>564920.22</c:v>
                </c:pt>
                <c:pt idx="4">
                  <c:v>562607.38800000004</c:v>
                </c:pt>
                <c:pt idx="5">
                  <c:v>566182.17799999996</c:v>
                </c:pt>
                <c:pt idx="6">
                  <c:v>578025.46400000004</c:v>
                </c:pt>
                <c:pt idx="7">
                  <c:v>575181.75799999991</c:v>
                </c:pt>
                <c:pt idx="8">
                  <c:v>591486.79200000002</c:v>
                </c:pt>
                <c:pt idx="9">
                  <c:v>593524.18699999992</c:v>
                </c:pt>
                <c:pt idx="10">
                  <c:v>582881.33799999999</c:v>
                </c:pt>
                <c:pt idx="11">
                  <c:v>586218.73300000001</c:v>
                </c:pt>
                <c:pt idx="12">
                  <c:v>604075</c:v>
                </c:pt>
                <c:pt idx="13">
                  <c:v>611500</c:v>
                </c:pt>
                <c:pt idx="14">
                  <c:v>571645</c:v>
                </c:pt>
                <c:pt idx="15">
                  <c:v>919695</c:v>
                </c:pt>
                <c:pt idx="16">
                  <c:v>580055</c:v>
                </c:pt>
                <c:pt idx="17">
                  <c:v>586650</c:v>
                </c:pt>
                <c:pt idx="18">
                  <c:v>603345</c:v>
                </c:pt>
                <c:pt idx="19">
                  <c:v>595110</c:v>
                </c:pt>
                <c:pt idx="20">
                  <c:v>617740</c:v>
                </c:pt>
                <c:pt idx="21">
                  <c:v>620345</c:v>
                </c:pt>
                <c:pt idx="22">
                  <c:v>629320</c:v>
                </c:pt>
                <c:pt idx="23">
                  <c:v>661710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F-46C1-A789-EBBF20ED2C0F}"/>
            </c:ext>
          </c:extLst>
        </c:ser>
        <c:ser>
          <c:idx val="1"/>
          <c:order val="1"/>
          <c:tx>
            <c:strRef>
              <c:f>Calculations!$D$50</c:f>
              <c:strCache>
                <c:ptCount val="1"/>
                <c:pt idx="0">
                  <c:v>Cash Outflow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Calculations!$Q$50:$AN$50</c:f>
              <c:numCache>
                <c:formatCode>#,##0</c:formatCode>
                <c:ptCount val="24"/>
                <c:pt idx="0">
                  <c:v>-175291.44560000004</c:v>
                </c:pt>
                <c:pt idx="1">
                  <c:v>-173453.97840000002</c:v>
                </c:pt>
                <c:pt idx="2">
                  <c:v>-171223.51120000001</c:v>
                </c:pt>
                <c:pt idx="3">
                  <c:v>-168970.04399999999</c:v>
                </c:pt>
                <c:pt idx="4">
                  <c:v>-165143.87760000001</c:v>
                </c:pt>
                <c:pt idx="5">
                  <c:v>-162495.23560000001</c:v>
                </c:pt>
                <c:pt idx="6">
                  <c:v>-161500.29280000002</c:v>
                </c:pt>
                <c:pt idx="7">
                  <c:v>-157567.9516</c:v>
                </c:pt>
                <c:pt idx="8">
                  <c:v>-157465.35840000003</c:v>
                </c:pt>
                <c:pt idx="9">
                  <c:v>-154509.23739999998</c:v>
                </c:pt>
                <c:pt idx="10">
                  <c:v>-149017.06760000001</c:v>
                </c:pt>
                <c:pt idx="11">
                  <c:v>-146320.94660000002</c:v>
                </c:pt>
                <c:pt idx="12">
                  <c:v>-149271.79999999999</c:v>
                </c:pt>
                <c:pt idx="13">
                  <c:v>-146336.4</c:v>
                </c:pt>
                <c:pt idx="14">
                  <c:v>-133945</c:v>
                </c:pt>
                <c:pt idx="15">
                  <c:v>-199134.6</c:v>
                </c:pt>
                <c:pt idx="16">
                  <c:v>-126786.2</c:v>
                </c:pt>
                <c:pt idx="17">
                  <c:v>-123684.8</c:v>
                </c:pt>
                <c:pt idx="18">
                  <c:v>-122603.4</c:v>
                </c:pt>
                <c:pt idx="19">
                  <c:v>-119262</c:v>
                </c:pt>
                <c:pt idx="20">
                  <c:v>-123788</c:v>
                </c:pt>
                <c:pt idx="21">
                  <c:v>-124309</c:v>
                </c:pt>
                <c:pt idx="22">
                  <c:v>-126104</c:v>
                </c:pt>
                <c:pt idx="23">
                  <c:v>-132582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F-46C1-A789-EBBF20ED2C0F}"/>
            </c:ext>
          </c:extLst>
        </c:ser>
        <c:ser>
          <c:idx val="2"/>
          <c:order val="2"/>
          <c:tx>
            <c:strRef>
              <c:f>Calculations!$D$51</c:f>
              <c:strCache>
                <c:ptCount val="1"/>
                <c:pt idx="0">
                  <c:v>Net Cash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Calculations!$Q$51:$AN$51</c:f>
              <c:numCache>
                <c:formatCode>#,##0</c:formatCode>
                <c:ptCount val="24"/>
                <c:pt idx="0">
                  <c:v>353963.78240000008</c:v>
                </c:pt>
                <c:pt idx="1">
                  <c:v>363431.91359999997</c:v>
                </c:pt>
                <c:pt idx="2">
                  <c:v>371328.04479999997</c:v>
                </c:pt>
                <c:pt idx="3">
                  <c:v>379132.17599999998</c:v>
                </c:pt>
                <c:pt idx="4">
                  <c:v>380645.51040000003</c:v>
                </c:pt>
                <c:pt idx="5">
                  <c:v>386868.94239999994</c:v>
                </c:pt>
                <c:pt idx="6">
                  <c:v>399707.17119999998</c:v>
                </c:pt>
                <c:pt idx="7">
                  <c:v>400795.80639999988</c:v>
                </c:pt>
                <c:pt idx="8">
                  <c:v>417203.43359999999</c:v>
                </c:pt>
                <c:pt idx="9">
                  <c:v>422196.94959999993</c:v>
                </c:pt>
                <c:pt idx="10">
                  <c:v>417046.27039999998</c:v>
                </c:pt>
                <c:pt idx="11">
                  <c:v>423079.78639999998</c:v>
                </c:pt>
                <c:pt idx="12">
                  <c:v>432701.19999999995</c:v>
                </c:pt>
                <c:pt idx="13">
                  <c:v>443061.6</c:v>
                </c:pt>
                <c:pt idx="14">
                  <c:v>415598</c:v>
                </c:pt>
                <c:pt idx="15">
                  <c:v>698458.4</c:v>
                </c:pt>
                <c:pt idx="16">
                  <c:v>431166.8</c:v>
                </c:pt>
                <c:pt idx="17">
                  <c:v>440863.2</c:v>
                </c:pt>
                <c:pt idx="18">
                  <c:v>458639.6</c:v>
                </c:pt>
                <c:pt idx="19">
                  <c:v>467376</c:v>
                </c:pt>
                <c:pt idx="20">
                  <c:v>493952</c:v>
                </c:pt>
                <c:pt idx="21">
                  <c:v>496036</c:v>
                </c:pt>
                <c:pt idx="22">
                  <c:v>503216</c:v>
                </c:pt>
                <c:pt idx="23">
                  <c:v>529128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EF-46C1-A789-EBBF20ED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180592"/>
        <c:axId val="1210179152"/>
      </c:barChart>
      <c:catAx>
        <c:axId val="121018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179152"/>
        <c:crosses val="autoZero"/>
        <c:auto val="1"/>
        <c:lblAlgn val="ctr"/>
        <c:lblOffset val="100"/>
        <c:noMultiLvlLbl val="0"/>
      </c:catAx>
      <c:valAx>
        <c:axId val="121017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180592"/>
        <c:crosses val="autoZero"/>
        <c:crossBetween val="between"/>
        <c:majorUnit val="20000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KPI's 2027 - 2028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Calculations!$D$42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Calculations!$AO$42:$BL$42</c:f>
              <c:numCache>
                <c:formatCode>#,##0</c:formatCode>
                <c:ptCount val="24"/>
                <c:pt idx="0">
                  <c:v>883175</c:v>
                </c:pt>
                <c:pt idx="1">
                  <c:v>904835</c:v>
                </c:pt>
                <c:pt idx="2">
                  <c:v>911350</c:v>
                </c:pt>
                <c:pt idx="3">
                  <c:v>917485</c:v>
                </c:pt>
                <c:pt idx="4">
                  <c:v>923530</c:v>
                </c:pt>
                <c:pt idx="5">
                  <c:v>929665</c:v>
                </c:pt>
                <c:pt idx="6">
                  <c:v>936180</c:v>
                </c:pt>
                <c:pt idx="7">
                  <c:v>959660</c:v>
                </c:pt>
                <c:pt idx="8">
                  <c:v>967035</c:v>
                </c:pt>
                <c:pt idx="9">
                  <c:v>973840</c:v>
                </c:pt>
                <c:pt idx="10">
                  <c:v>987120</c:v>
                </c:pt>
                <c:pt idx="11">
                  <c:v>994995</c:v>
                </c:pt>
                <c:pt idx="12">
                  <c:v>1000660</c:v>
                </c:pt>
                <c:pt idx="13">
                  <c:v>1007175</c:v>
                </c:pt>
                <c:pt idx="14">
                  <c:v>1032005</c:v>
                </c:pt>
                <c:pt idx="15">
                  <c:v>1037815</c:v>
                </c:pt>
                <c:pt idx="16">
                  <c:v>1044330</c:v>
                </c:pt>
                <c:pt idx="17">
                  <c:v>1049995</c:v>
                </c:pt>
                <c:pt idx="18">
                  <c:v>1066255</c:v>
                </c:pt>
                <c:pt idx="19">
                  <c:v>1072390</c:v>
                </c:pt>
                <c:pt idx="20">
                  <c:v>1096105</c:v>
                </c:pt>
                <c:pt idx="21">
                  <c:v>1102620</c:v>
                </c:pt>
                <c:pt idx="22">
                  <c:v>1109515</c:v>
                </c:pt>
                <c:pt idx="23">
                  <c:v>1118310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D-4211-BF8B-400A57939DC1}"/>
            </c:ext>
          </c:extLst>
        </c:ser>
        <c:ser>
          <c:idx val="1"/>
          <c:order val="1"/>
          <c:tx>
            <c:strRef>
              <c:f>Calculations!$D$43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Calculations!$AO$43:$BL$43</c:f>
              <c:numCache>
                <c:formatCode>#,##0</c:formatCode>
                <c:ptCount val="24"/>
                <c:pt idx="0">
                  <c:v>-32544</c:v>
                </c:pt>
                <c:pt idx="1">
                  <c:v>-32544</c:v>
                </c:pt>
                <c:pt idx="2">
                  <c:v>-32544</c:v>
                </c:pt>
                <c:pt idx="3">
                  <c:v>-32544</c:v>
                </c:pt>
                <c:pt idx="4">
                  <c:v>-32544</c:v>
                </c:pt>
                <c:pt idx="5">
                  <c:v>-32544</c:v>
                </c:pt>
                <c:pt idx="6">
                  <c:v>-32544</c:v>
                </c:pt>
                <c:pt idx="7">
                  <c:v>-32544</c:v>
                </c:pt>
                <c:pt idx="8">
                  <c:v>-32544</c:v>
                </c:pt>
                <c:pt idx="9">
                  <c:v>-32544</c:v>
                </c:pt>
                <c:pt idx="10">
                  <c:v>-32544</c:v>
                </c:pt>
                <c:pt idx="11">
                  <c:v>-32544</c:v>
                </c:pt>
                <c:pt idx="12">
                  <c:v>-32544</c:v>
                </c:pt>
                <c:pt idx="13">
                  <c:v>-32544</c:v>
                </c:pt>
                <c:pt idx="14">
                  <c:v>-38444</c:v>
                </c:pt>
                <c:pt idx="15">
                  <c:v>-38444</c:v>
                </c:pt>
                <c:pt idx="16">
                  <c:v>-38444</c:v>
                </c:pt>
                <c:pt idx="17">
                  <c:v>-38444</c:v>
                </c:pt>
                <c:pt idx="18">
                  <c:v>-38444</c:v>
                </c:pt>
                <c:pt idx="19">
                  <c:v>-38444</c:v>
                </c:pt>
                <c:pt idx="20">
                  <c:v>-38444</c:v>
                </c:pt>
                <c:pt idx="21">
                  <c:v>-38444</c:v>
                </c:pt>
                <c:pt idx="22">
                  <c:v>-38444</c:v>
                </c:pt>
                <c:pt idx="23">
                  <c:v>-38444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D-4211-BF8B-400A57939DC1}"/>
            </c:ext>
          </c:extLst>
        </c:ser>
        <c:ser>
          <c:idx val="2"/>
          <c:order val="2"/>
          <c:tx>
            <c:strRef>
              <c:f>Calculations!$D$44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Calculations!$AO$44:$BL$44</c:f>
              <c:numCache>
                <c:formatCode>#,##0</c:formatCode>
                <c:ptCount val="24"/>
                <c:pt idx="0">
                  <c:v>-28713</c:v>
                </c:pt>
                <c:pt idx="1">
                  <c:v>-28713</c:v>
                </c:pt>
                <c:pt idx="2">
                  <c:v>-28713</c:v>
                </c:pt>
                <c:pt idx="3">
                  <c:v>-28713</c:v>
                </c:pt>
                <c:pt idx="4">
                  <c:v>-28713</c:v>
                </c:pt>
                <c:pt idx="5">
                  <c:v>-28713</c:v>
                </c:pt>
                <c:pt idx="6">
                  <c:v>-28713</c:v>
                </c:pt>
                <c:pt idx="7">
                  <c:v>-28713</c:v>
                </c:pt>
                <c:pt idx="8">
                  <c:v>-28713</c:v>
                </c:pt>
                <c:pt idx="9">
                  <c:v>-28713</c:v>
                </c:pt>
                <c:pt idx="10">
                  <c:v>-28713</c:v>
                </c:pt>
                <c:pt idx="11">
                  <c:v>-17479</c:v>
                </c:pt>
                <c:pt idx="12">
                  <c:v>-28713</c:v>
                </c:pt>
                <c:pt idx="13">
                  <c:v>-28713</c:v>
                </c:pt>
                <c:pt idx="14">
                  <c:v>-28713</c:v>
                </c:pt>
                <c:pt idx="15">
                  <c:v>-28713</c:v>
                </c:pt>
                <c:pt idx="16">
                  <c:v>-28713</c:v>
                </c:pt>
                <c:pt idx="17">
                  <c:v>-28713</c:v>
                </c:pt>
                <c:pt idx="18">
                  <c:v>-28713</c:v>
                </c:pt>
                <c:pt idx="19">
                  <c:v>-28713</c:v>
                </c:pt>
                <c:pt idx="20">
                  <c:v>-28713</c:v>
                </c:pt>
                <c:pt idx="21">
                  <c:v>-28713</c:v>
                </c:pt>
                <c:pt idx="22">
                  <c:v>-28713</c:v>
                </c:pt>
                <c:pt idx="23">
                  <c:v>-17479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5D-4211-BF8B-400A57939DC1}"/>
            </c:ext>
          </c:extLst>
        </c:ser>
        <c:ser>
          <c:idx val="3"/>
          <c:order val="3"/>
          <c:tx>
            <c:strRef>
              <c:f>Calculations!$D$45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Calculations!$AO$45:$BL$45</c:f>
              <c:numCache>
                <c:formatCode>#,##0</c:formatCode>
                <c:ptCount val="24"/>
                <c:pt idx="0">
                  <c:v>-45063</c:v>
                </c:pt>
                <c:pt idx="1">
                  <c:v>-45063</c:v>
                </c:pt>
                <c:pt idx="2">
                  <c:v>-45063</c:v>
                </c:pt>
                <c:pt idx="3">
                  <c:v>-45063</c:v>
                </c:pt>
                <c:pt idx="4">
                  <c:v>-45063</c:v>
                </c:pt>
                <c:pt idx="5">
                  <c:v>-45063</c:v>
                </c:pt>
                <c:pt idx="6">
                  <c:v>-45063</c:v>
                </c:pt>
                <c:pt idx="7">
                  <c:v>-45063</c:v>
                </c:pt>
                <c:pt idx="8">
                  <c:v>-45063</c:v>
                </c:pt>
                <c:pt idx="9">
                  <c:v>-45063</c:v>
                </c:pt>
                <c:pt idx="10">
                  <c:v>-45063</c:v>
                </c:pt>
                <c:pt idx="11">
                  <c:v>-45063</c:v>
                </c:pt>
                <c:pt idx="12">
                  <c:v>-45063</c:v>
                </c:pt>
                <c:pt idx="13">
                  <c:v>-45063</c:v>
                </c:pt>
                <c:pt idx="14">
                  <c:v>-45063</c:v>
                </c:pt>
                <c:pt idx="15">
                  <c:v>-45063</c:v>
                </c:pt>
                <c:pt idx="16">
                  <c:v>-45063</c:v>
                </c:pt>
                <c:pt idx="17">
                  <c:v>-45063</c:v>
                </c:pt>
                <c:pt idx="18">
                  <c:v>-45063</c:v>
                </c:pt>
                <c:pt idx="19">
                  <c:v>-45063</c:v>
                </c:pt>
                <c:pt idx="20">
                  <c:v>-45063</c:v>
                </c:pt>
                <c:pt idx="21">
                  <c:v>-45063</c:v>
                </c:pt>
                <c:pt idx="22">
                  <c:v>-45063</c:v>
                </c:pt>
                <c:pt idx="23">
                  <c:v>-45063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5D-4211-BF8B-400A57939DC1}"/>
            </c:ext>
          </c:extLst>
        </c:ser>
        <c:ser>
          <c:idx val="4"/>
          <c:order val="4"/>
          <c:tx>
            <c:strRef>
              <c:f>Calculations!$D$46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Calculations!$AO$46:$BL$46</c:f>
              <c:numCache>
                <c:formatCode>#,##0</c:formatCode>
                <c:ptCount val="24"/>
                <c:pt idx="0">
                  <c:v>813668</c:v>
                </c:pt>
                <c:pt idx="1">
                  <c:v>835328</c:v>
                </c:pt>
                <c:pt idx="2">
                  <c:v>841843</c:v>
                </c:pt>
                <c:pt idx="3">
                  <c:v>847978</c:v>
                </c:pt>
                <c:pt idx="4">
                  <c:v>854023</c:v>
                </c:pt>
                <c:pt idx="5">
                  <c:v>860158</c:v>
                </c:pt>
                <c:pt idx="6">
                  <c:v>866673</c:v>
                </c:pt>
                <c:pt idx="7">
                  <c:v>890153</c:v>
                </c:pt>
                <c:pt idx="8">
                  <c:v>897528</c:v>
                </c:pt>
                <c:pt idx="9">
                  <c:v>904333</c:v>
                </c:pt>
                <c:pt idx="10">
                  <c:v>917613</c:v>
                </c:pt>
                <c:pt idx="11">
                  <c:v>936722</c:v>
                </c:pt>
                <c:pt idx="12">
                  <c:v>931153</c:v>
                </c:pt>
                <c:pt idx="13">
                  <c:v>937668</c:v>
                </c:pt>
                <c:pt idx="14">
                  <c:v>956598</c:v>
                </c:pt>
                <c:pt idx="15">
                  <c:v>962408</c:v>
                </c:pt>
                <c:pt idx="16">
                  <c:v>968923</c:v>
                </c:pt>
                <c:pt idx="17">
                  <c:v>974588</c:v>
                </c:pt>
                <c:pt idx="18">
                  <c:v>990848</c:v>
                </c:pt>
                <c:pt idx="19">
                  <c:v>996983</c:v>
                </c:pt>
                <c:pt idx="20">
                  <c:v>1020698</c:v>
                </c:pt>
                <c:pt idx="21">
                  <c:v>1027213</c:v>
                </c:pt>
                <c:pt idx="22">
                  <c:v>1034108</c:v>
                </c:pt>
                <c:pt idx="23">
                  <c:v>1054137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5D-4211-BF8B-400A57939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0792880"/>
        <c:axId val="830804400"/>
      </c:barChart>
      <c:catAx>
        <c:axId val="830792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804400"/>
        <c:crosses val="autoZero"/>
        <c:auto val="1"/>
        <c:lblAlgn val="ctr"/>
        <c:lblOffset val="100"/>
        <c:noMultiLvlLbl val="0"/>
      </c:catAx>
      <c:valAx>
        <c:axId val="83080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792880"/>
        <c:crosses val="autoZero"/>
        <c:crossBetween val="between"/>
        <c:majorUnit val="20000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Cash Flow 2027 - 2028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Calculations!$D$49</c:f>
              <c:strCache>
                <c:ptCount val="1"/>
                <c:pt idx="0">
                  <c:v>Cash Inflow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Calculations!$AO$49:$BL$49</c:f>
              <c:numCache>
                <c:formatCode>#,##0</c:formatCode>
                <c:ptCount val="24"/>
                <c:pt idx="0">
                  <c:v>883175</c:v>
                </c:pt>
                <c:pt idx="1">
                  <c:v>904835</c:v>
                </c:pt>
                <c:pt idx="2">
                  <c:v>911350</c:v>
                </c:pt>
                <c:pt idx="3">
                  <c:v>917485</c:v>
                </c:pt>
                <c:pt idx="4">
                  <c:v>923530</c:v>
                </c:pt>
                <c:pt idx="5">
                  <c:v>929665</c:v>
                </c:pt>
                <c:pt idx="6">
                  <c:v>936180</c:v>
                </c:pt>
                <c:pt idx="7">
                  <c:v>959660</c:v>
                </c:pt>
                <c:pt idx="8">
                  <c:v>967035</c:v>
                </c:pt>
                <c:pt idx="9">
                  <c:v>973840</c:v>
                </c:pt>
                <c:pt idx="10">
                  <c:v>987120</c:v>
                </c:pt>
                <c:pt idx="11">
                  <c:v>994995</c:v>
                </c:pt>
                <c:pt idx="12">
                  <c:v>1000660</c:v>
                </c:pt>
                <c:pt idx="13">
                  <c:v>1007175</c:v>
                </c:pt>
                <c:pt idx="14">
                  <c:v>1032005</c:v>
                </c:pt>
                <c:pt idx="15">
                  <c:v>1037815</c:v>
                </c:pt>
                <c:pt idx="16">
                  <c:v>1044330</c:v>
                </c:pt>
                <c:pt idx="17">
                  <c:v>1049995</c:v>
                </c:pt>
                <c:pt idx="18">
                  <c:v>1066255</c:v>
                </c:pt>
                <c:pt idx="19">
                  <c:v>1072390</c:v>
                </c:pt>
                <c:pt idx="20">
                  <c:v>1096105</c:v>
                </c:pt>
                <c:pt idx="21">
                  <c:v>1102620</c:v>
                </c:pt>
                <c:pt idx="22">
                  <c:v>1109515</c:v>
                </c:pt>
                <c:pt idx="23">
                  <c:v>1118310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A-4D37-A41C-7F453A5CAFD2}"/>
            </c:ext>
          </c:extLst>
        </c:ser>
        <c:ser>
          <c:idx val="1"/>
          <c:order val="1"/>
          <c:tx>
            <c:strRef>
              <c:f>Calculations!$D$50</c:f>
              <c:strCache>
                <c:ptCount val="1"/>
                <c:pt idx="0">
                  <c:v>Cash Outflow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Calculations!$AO$50:$BL$50</c:f>
              <c:numCache>
                <c:formatCode>#,##0</c:formatCode>
                <c:ptCount val="24"/>
                <c:pt idx="0">
                  <c:v>-163358.6</c:v>
                </c:pt>
                <c:pt idx="1">
                  <c:v>-167690.6</c:v>
                </c:pt>
                <c:pt idx="2">
                  <c:v>-168993.6</c:v>
                </c:pt>
                <c:pt idx="3">
                  <c:v>-170220.6</c:v>
                </c:pt>
                <c:pt idx="4">
                  <c:v>-171429.6</c:v>
                </c:pt>
                <c:pt idx="5">
                  <c:v>-172656.6</c:v>
                </c:pt>
                <c:pt idx="6">
                  <c:v>-173959.6</c:v>
                </c:pt>
                <c:pt idx="7">
                  <c:v>-178655.6</c:v>
                </c:pt>
                <c:pt idx="8">
                  <c:v>-180130.6</c:v>
                </c:pt>
                <c:pt idx="9">
                  <c:v>-181491.6</c:v>
                </c:pt>
                <c:pt idx="10">
                  <c:v>-184147.6</c:v>
                </c:pt>
                <c:pt idx="11">
                  <c:v>-187969.40000000002</c:v>
                </c:pt>
                <c:pt idx="12">
                  <c:v>-186855.6</c:v>
                </c:pt>
                <c:pt idx="13">
                  <c:v>-188158.6</c:v>
                </c:pt>
                <c:pt idx="14">
                  <c:v>-191944.6</c:v>
                </c:pt>
                <c:pt idx="15">
                  <c:v>-193106.6</c:v>
                </c:pt>
                <c:pt idx="16">
                  <c:v>-194409.60000000001</c:v>
                </c:pt>
                <c:pt idx="17">
                  <c:v>-195542.6</c:v>
                </c:pt>
                <c:pt idx="18">
                  <c:v>-198794.6</c:v>
                </c:pt>
                <c:pt idx="19">
                  <c:v>-200021.6</c:v>
                </c:pt>
                <c:pt idx="20">
                  <c:v>-204764.6</c:v>
                </c:pt>
                <c:pt idx="21">
                  <c:v>-206067.6</c:v>
                </c:pt>
                <c:pt idx="22">
                  <c:v>-207446.6</c:v>
                </c:pt>
                <c:pt idx="23">
                  <c:v>-211452.40000000002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6A-4D37-A41C-7F453A5CAFD2}"/>
            </c:ext>
          </c:extLst>
        </c:ser>
        <c:ser>
          <c:idx val="2"/>
          <c:order val="2"/>
          <c:tx>
            <c:strRef>
              <c:f>Calculations!$D$51</c:f>
              <c:strCache>
                <c:ptCount val="1"/>
                <c:pt idx="0">
                  <c:v>Net Cash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Calculations!$AO$51:$BL$51</c:f>
              <c:numCache>
                <c:formatCode>#,##0</c:formatCode>
                <c:ptCount val="24"/>
                <c:pt idx="0">
                  <c:v>719816.4</c:v>
                </c:pt>
                <c:pt idx="1">
                  <c:v>737144.4</c:v>
                </c:pt>
                <c:pt idx="2">
                  <c:v>742356.4</c:v>
                </c:pt>
                <c:pt idx="3">
                  <c:v>747264.4</c:v>
                </c:pt>
                <c:pt idx="4">
                  <c:v>752100.4</c:v>
                </c:pt>
                <c:pt idx="5">
                  <c:v>757008.4</c:v>
                </c:pt>
                <c:pt idx="6">
                  <c:v>762220.4</c:v>
                </c:pt>
                <c:pt idx="7">
                  <c:v>781004.4</c:v>
                </c:pt>
                <c:pt idx="8">
                  <c:v>786904.4</c:v>
                </c:pt>
                <c:pt idx="9">
                  <c:v>792348.4</c:v>
                </c:pt>
                <c:pt idx="10">
                  <c:v>802972.4</c:v>
                </c:pt>
                <c:pt idx="11">
                  <c:v>807025.6</c:v>
                </c:pt>
                <c:pt idx="12">
                  <c:v>813804.4</c:v>
                </c:pt>
                <c:pt idx="13">
                  <c:v>819016.4</c:v>
                </c:pt>
                <c:pt idx="14">
                  <c:v>840060.4</c:v>
                </c:pt>
                <c:pt idx="15">
                  <c:v>844708.4</c:v>
                </c:pt>
                <c:pt idx="16">
                  <c:v>849920.4</c:v>
                </c:pt>
                <c:pt idx="17">
                  <c:v>854452.4</c:v>
                </c:pt>
                <c:pt idx="18">
                  <c:v>867460.4</c:v>
                </c:pt>
                <c:pt idx="19">
                  <c:v>872368.4</c:v>
                </c:pt>
                <c:pt idx="20">
                  <c:v>891340.4</c:v>
                </c:pt>
                <c:pt idx="21">
                  <c:v>896552.4</c:v>
                </c:pt>
                <c:pt idx="22">
                  <c:v>902068.4</c:v>
                </c:pt>
                <c:pt idx="23">
                  <c:v>906857.6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6A-4D37-A41C-7F453A5CA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8255456"/>
        <c:axId val="1448272736"/>
      </c:barChart>
      <c:catAx>
        <c:axId val="144825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272736"/>
        <c:crosses val="autoZero"/>
        <c:auto val="1"/>
        <c:lblAlgn val="ctr"/>
        <c:lblOffset val="100"/>
        <c:noMultiLvlLbl val="0"/>
      </c:catAx>
      <c:valAx>
        <c:axId val="144827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255456"/>
        <c:crosses val="autoZero"/>
        <c:crossBetween val="between"/>
        <c:majorUnit val="20000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BEA!$E$27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BEA!$H$24:$Q$24</c15:sqref>
                  </c15:fullRef>
                </c:ext>
              </c:extLst>
              <c:f>(BEA!$H$24,BEA!$J$24,BEA!$L$24,BEA!$N$24,BEA!$P$24)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BEA!$H$27:$Q$27</c15:sqref>
                  </c15:fullRef>
                </c:ext>
              </c:extLst>
              <c:f>(BEA!$H$27,BEA!$J$27,BEA!$L$27,BEA!$N$27,BEA!$P$27)</c:f>
              <c:numCache>
                <c:formatCode>#,##0</c:formatCode>
                <c:ptCount val="5"/>
                <c:pt idx="0">
                  <c:v>4830841</c:v>
                </c:pt>
                <c:pt idx="1">
                  <c:v>6860174.7340000002</c:v>
                </c:pt>
                <c:pt idx="2">
                  <c:v>7601190</c:v>
                </c:pt>
                <c:pt idx="3">
                  <c:v>11288870</c:v>
                </c:pt>
                <c:pt idx="4">
                  <c:v>12737175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D-45A2-A66D-DA29F5182646}"/>
            </c:ext>
          </c:extLst>
        </c:ser>
        <c:ser>
          <c:idx val="1"/>
          <c:order val="1"/>
          <c:tx>
            <c:strRef>
              <c:f>BEA!$E$34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BEA!$H$34:$Q$34</c15:sqref>
                  </c15:fullRef>
                </c:ext>
              </c:extLst>
              <c:f>(BEA!$H$34,BEA!$J$34,BEA!$L$34,BEA!$N$34,BEA!$P$34)</c:f>
              <c:numCache>
                <c:formatCode>General</c:formatCode>
                <c:ptCount val="5"/>
                <c:pt idx="0" formatCode="#,##0">
                  <c:v>3663792.8</c:v>
                </c:pt>
                <c:pt idx="1" formatCode="#,##0">
                  <c:v>5287259.7871999992</c:v>
                </c:pt>
                <c:pt idx="2" formatCode="#,##0">
                  <c:v>6062472</c:v>
                </c:pt>
                <c:pt idx="3" formatCode="#,##0">
                  <c:v>8372816.0000000009</c:v>
                </c:pt>
                <c:pt idx="4" formatCode="#,##0">
                  <c:v>9484260.0000000019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106433648"/>
        <c:axId val="89747792"/>
      </c:barChart>
      <c:lineChart>
        <c:grouping val="standard"/>
        <c:varyColors val="0"/>
        <c:ser>
          <c:idx val="2"/>
          <c:order val="2"/>
          <c:tx>
            <c:strRef>
              <c:f>BEA!$E$32</c:f>
              <c:strCache>
                <c:ptCount val="1"/>
                <c:pt idx="0">
                  <c:v>Break Even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BEA!$H$32:$Q$32</c15:sqref>
                  </c15:fullRef>
                </c:ext>
              </c:extLst>
              <c:f>(BEA!$H$32,BEA!$J$32,BEA!$L$32,BEA!$N$32,BEA!$P$32)</c:f>
              <c:numCache>
                <c:formatCode>General</c:formatCode>
                <c:ptCount val="5"/>
                <c:pt idx="0" formatCode="#,##0">
                  <c:v>2334338.6</c:v>
                </c:pt>
                <c:pt idx="1" formatCode="#,##0">
                  <c:v>2253114.9468</c:v>
                </c:pt>
                <c:pt idx="2" formatCode="#,##0">
                  <c:v>2411952.2000000002</c:v>
                </c:pt>
                <c:pt idx="3" formatCode="#,##0">
                  <c:v>3478347.0000000005</c:v>
                </c:pt>
                <c:pt idx="4" formatCode="#,##0">
                  <c:v>3814963.0000000005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6433648"/>
        <c:axId val="89747792"/>
      </c:lineChart>
      <c:catAx>
        <c:axId val="10643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47792"/>
        <c:crosses val="autoZero"/>
        <c:auto val="1"/>
        <c:lblAlgn val="ctr"/>
        <c:lblOffset val="100"/>
        <c:noMultiLvlLbl val="0"/>
      </c:catAx>
      <c:valAx>
        <c:axId val="8974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3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Building Rent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8400</c:v>
                </c:pt>
                <c:pt idx="1">
                  <c:v>8400</c:v>
                </c:pt>
                <c:pt idx="2">
                  <c:v>8400</c:v>
                </c:pt>
                <c:pt idx="3">
                  <c:v>8400</c:v>
                </c:pt>
                <c:pt idx="4">
                  <c:v>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8-4000-88F5-F16B23D06E97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Wages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162756</c:v>
                </c:pt>
                <c:pt idx="1">
                  <c:v>162756</c:v>
                </c:pt>
                <c:pt idx="2">
                  <c:v>654756</c:v>
                </c:pt>
                <c:pt idx="3">
                  <c:v>920604</c:v>
                </c:pt>
                <c:pt idx="4">
                  <c:v>979604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8-4000-88F5-F16B23D06E97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Utilities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22800</c:v>
                </c:pt>
                <c:pt idx="1">
                  <c:v>22800</c:v>
                </c:pt>
                <c:pt idx="2">
                  <c:v>22800</c:v>
                </c:pt>
                <c:pt idx="3">
                  <c:v>22800</c:v>
                </c:pt>
                <c:pt idx="4">
                  <c:v>22800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8-4000-88F5-F16B23D06E97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Misc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3600</c:v>
                </c:pt>
                <c:pt idx="1">
                  <c:v>3600</c:v>
                </c:pt>
                <c:pt idx="2">
                  <c:v>3600</c:v>
                </c:pt>
                <c:pt idx="3">
                  <c:v>161916</c:v>
                </c:pt>
                <c:pt idx="4">
                  <c:v>123574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48-4000-88F5-F16B23D06E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2"/>
        <c:overlap val="100"/>
        <c:axId val="86746880"/>
        <c:axId val="181657264"/>
      </c:barChart>
      <c:catAx>
        <c:axId val="8674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57264"/>
        <c:crosses val="autoZero"/>
        <c:auto val="1"/>
        <c:lblAlgn val="ctr"/>
        <c:lblOffset val="100"/>
        <c:noMultiLvlLbl val="0"/>
      </c:catAx>
      <c:valAx>
        <c:axId val="18165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571741032370953E-2"/>
          <c:y val="2.7777777777777776E-2"/>
          <c:w val="0.831903234101958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Building Rent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8400</c:v>
                </c:pt>
                <c:pt idx="1">
                  <c:v>8400</c:v>
                </c:pt>
                <c:pt idx="2">
                  <c:v>8400</c:v>
                </c:pt>
                <c:pt idx="3">
                  <c:v>8400</c:v>
                </c:pt>
                <c:pt idx="4">
                  <c:v>8400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9-41F2-86A9-6D771DAA14D6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Wages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162756</c:v>
                </c:pt>
                <c:pt idx="1">
                  <c:v>162756</c:v>
                </c:pt>
                <c:pt idx="2">
                  <c:v>654756</c:v>
                </c:pt>
                <c:pt idx="3">
                  <c:v>920604</c:v>
                </c:pt>
                <c:pt idx="4">
                  <c:v>979604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9-41F2-86A9-6D771DAA14D6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Utilities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22800</c:v>
                </c:pt>
                <c:pt idx="1">
                  <c:v>22800</c:v>
                </c:pt>
                <c:pt idx="2">
                  <c:v>22800</c:v>
                </c:pt>
                <c:pt idx="3">
                  <c:v>22800</c:v>
                </c:pt>
                <c:pt idx="4">
                  <c:v>22800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9-41F2-86A9-6D771DAA14D6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Misc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3600</c:v>
                </c:pt>
                <c:pt idx="1">
                  <c:v>3600</c:v>
                </c:pt>
                <c:pt idx="2">
                  <c:v>3600</c:v>
                </c:pt>
                <c:pt idx="3">
                  <c:v>161916</c:v>
                </c:pt>
                <c:pt idx="4">
                  <c:v>123574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9-41F2-86A9-6D771DAA1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24048"/>
        <c:axId val="121146032"/>
      </c:lineChart>
      <c:catAx>
        <c:axId val="1064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46032"/>
        <c:crosses val="autoZero"/>
        <c:auto val="1"/>
        <c:lblAlgn val="ctr"/>
        <c:lblOffset val="100"/>
        <c:noMultiLvlLbl val="0"/>
      </c:catAx>
      <c:valAx>
        <c:axId val="12114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2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'Servcies Team Upselling %'!$F$10</c:f>
              <c:strCache>
                <c:ptCount val="1"/>
                <c:pt idx="0">
                  <c:v>% OF GOAL REACHED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'Servcies Team Upselling %'!$B$11:$C$35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'Servcies Team Upselling %'!$F$11:$F$35</c:f>
              <c:numCache>
                <c:formatCode>0%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1.0416666666666667</c:v>
                </c:pt>
                <c:pt idx="5">
                  <c:v>1</c:v>
                </c:pt>
                <c:pt idx="6">
                  <c:v>1.0833333333333333</c:v>
                </c:pt>
                <c:pt idx="7">
                  <c:v>1.1666666666666667</c:v>
                </c:pt>
                <c:pt idx="8">
                  <c:v>1.25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1.1666666666666667</c:v>
                </c:pt>
                <c:pt idx="13">
                  <c:v>1.0833333333333333</c:v>
                </c:pt>
                <c:pt idx="14">
                  <c:v>1</c:v>
                </c:pt>
                <c:pt idx="15">
                  <c:v>1</c:v>
                </c:pt>
                <c:pt idx="16">
                  <c:v>1.0833333333333333</c:v>
                </c:pt>
                <c:pt idx="17">
                  <c:v>1</c:v>
                </c:pt>
                <c:pt idx="18">
                  <c:v>1.0416666666666667</c:v>
                </c:pt>
                <c:pt idx="19">
                  <c:v>1.0833333333333333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085-457A-A6FF-41BD0EDC3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483483213663E-2"/>
          <c:y val="4.0958462760173703E-2"/>
          <c:w val="0.95614007837133197"/>
          <c:h val="0.88437656679764598"/>
        </c:manualLayout>
      </c:layout>
      <c:barChart>
        <c:barDir val="col"/>
        <c:grouping val="clustered"/>
        <c:varyColors val="1"/>
        <c:ser>
          <c:idx val="3"/>
          <c:order val="0"/>
          <c:tx>
            <c:strRef>
              <c:f>'Servcies Team Upselling %'!$D$10</c:f>
              <c:strCache>
                <c:ptCount val="1"/>
                <c:pt idx="0">
                  <c:v>Actual Months Taken</c:v>
                </c:pt>
              </c:strCache>
            </c:strRef>
          </c:tx>
          <c:spPr>
            <a:solidFill>
              <a:schemeClr val="accent2"/>
            </a:solidFill>
            <a:ln w="9525" cap="flat" cmpd="sng" algn="ctr">
              <a:solidFill>
                <a:schemeClr val="accent4">
                  <a:shade val="58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C7-4B12-A27C-B38C8A32548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C7-4B12-A27C-B38C8A32548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C7-4B12-A27C-B38C8A32548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C7-4B12-A27C-B38C8A32548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C7-4B12-A27C-B38C8A32548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CC7-4B12-A27C-B38C8A32548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8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CC7-4B12-A27C-B38C8A32548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CC7-4B12-A27C-B38C8A32548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2CC7-4B12-A27C-B38C8A32548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CC7-4B12-A27C-B38C8A32548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CC7-4B12-A27C-B38C8A32548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2CC7-4B12-A27C-B38C8A32548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2CC7-4B12-A27C-B38C8A32548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2CC7-4B12-A27C-B38C8A32548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2CC7-4B12-A27C-B38C8A32548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2CC7-4B12-A27C-B38C8A32548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2CC7-4B12-A27C-B38C8A32548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2CC7-4B12-A27C-B38C8A32548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1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2CC7-4B12-A27C-B38C8A32548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2CC7-4B12-A27C-B38C8A325486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CC7-4B12-A27C-B38C8A325486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3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2CC7-4B12-A27C-B38C8A3254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'Servcies Team Upselling %'!$B$11:$C$35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'Servcies Team Upselling %'!$D$11:$D$35</c:f>
              <c:numCache>
                <c:formatCode>General</c:formatCode>
                <c:ptCount val="25"/>
                <c:pt idx="0">
                  <c:v>12</c:v>
                </c:pt>
                <c:pt idx="1">
                  <c:v>24</c:v>
                </c:pt>
                <c:pt idx="2">
                  <c:v>12</c:v>
                </c:pt>
                <c:pt idx="3">
                  <c:v>12</c:v>
                </c:pt>
                <c:pt idx="4">
                  <c:v>25</c:v>
                </c:pt>
                <c:pt idx="5">
                  <c:v>12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24</c:v>
                </c:pt>
                <c:pt idx="10">
                  <c:v>12</c:v>
                </c:pt>
                <c:pt idx="11">
                  <c:v>12</c:v>
                </c:pt>
                <c:pt idx="12">
                  <c:v>14</c:v>
                </c:pt>
                <c:pt idx="13">
                  <c:v>26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25</c:v>
                </c:pt>
                <c:pt idx="19">
                  <c:v>26</c:v>
                </c:pt>
                <c:pt idx="20">
                  <c:v>24</c:v>
                </c:pt>
                <c:pt idx="21">
                  <c:v>12</c:v>
                </c:pt>
                <c:pt idx="22">
                  <c:v>24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2CC7-4B12-A27C-B38C8A325486}"/>
            </c:ext>
          </c:extLst>
        </c:ser>
        <c:ser>
          <c:idx val="0"/>
          <c:order val="1"/>
          <c:tx>
            <c:strRef>
              <c:f>'Servcies Team Upselling %'!$E$10</c:f>
              <c:strCache>
                <c:ptCount val="1"/>
                <c:pt idx="0">
                  <c:v>Planned Months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4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'Servcies Team Upselling %'!$B$11:$C$35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'Servcies Team Upselling %'!$E$11:$E$35</c:f>
              <c:numCache>
                <c:formatCode>General</c:formatCode>
                <c:ptCount val="25"/>
                <c:pt idx="0">
                  <c:v>12</c:v>
                </c:pt>
                <c:pt idx="1">
                  <c:v>24</c:v>
                </c:pt>
                <c:pt idx="2">
                  <c:v>12</c:v>
                </c:pt>
                <c:pt idx="3">
                  <c:v>12</c:v>
                </c:pt>
                <c:pt idx="4">
                  <c:v>24</c:v>
                </c:pt>
                <c:pt idx="5">
                  <c:v>12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24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12</c:v>
                </c:pt>
                <c:pt idx="22">
                  <c:v>24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2CC7-4B12-A27C-B38C8A3254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1"/>
        <c:axId val="210470832"/>
        <c:axId val="210471392"/>
      </c:barChart>
      <c:catAx>
        <c:axId val="21047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1392"/>
        <c:crosses val="autoZero"/>
        <c:auto val="1"/>
        <c:lblAlgn val="ctr"/>
        <c:lblOffset val="100"/>
        <c:noMultiLvlLbl val="0"/>
      </c:catAx>
      <c:valAx>
        <c:axId val="21047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GB" b="0"/>
              <a:t>KPI Service Financials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6"/>
          <c:order val="0"/>
          <c:tx>
            <c:strRef>
              <c:f>'KPI Stage Financials'!$E$5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Financials'!$E$6:$E$20</c15:sqref>
                  </c15:fullRef>
                </c:ext>
              </c:extLst>
              <c:f>('KPI Stage Financials'!$E$6:$E$17,'KPI Stage Financials'!$E$19:$E$20)</c:f>
              <c:numCache>
                <c:formatCode>#,##0</c:formatCode>
                <c:ptCount val="14"/>
                <c:pt idx="0">
                  <c:v>2760</c:v>
                </c:pt>
                <c:pt idx="1">
                  <c:v>2760</c:v>
                </c:pt>
                <c:pt idx="2">
                  <c:v>2660</c:v>
                </c:pt>
                <c:pt idx="3">
                  <c:v>2450</c:v>
                </c:pt>
                <c:pt idx="4">
                  <c:v>2500</c:v>
                </c:pt>
                <c:pt idx="5">
                  <c:v>2760</c:v>
                </c:pt>
                <c:pt idx="6">
                  <c:v>2760</c:v>
                </c:pt>
                <c:pt idx="7">
                  <c:v>2700</c:v>
                </c:pt>
                <c:pt idx="8">
                  <c:v>2750</c:v>
                </c:pt>
                <c:pt idx="9">
                  <c:v>3005</c:v>
                </c:pt>
                <c:pt idx="10">
                  <c:v>2970</c:v>
                </c:pt>
                <c:pt idx="11">
                  <c:v>2760</c:v>
                </c:pt>
                <c:pt idx="12">
                  <c:v>2350</c:v>
                </c:pt>
                <c:pt idx="13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7A-4537-ABB8-1736D51F4BAC}"/>
            </c:ext>
          </c:extLst>
        </c:ser>
        <c:ser>
          <c:idx val="0"/>
          <c:order val="1"/>
          <c:tx>
            <c:strRef>
              <c:f>'KPI Stage Financials'!$D$5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Financials'!$D$6:$D$20</c15:sqref>
                  </c15:fullRef>
                </c:ext>
              </c:extLst>
              <c:f>('KPI Stage Financials'!$D$6:$D$17,'KPI Stage Financials'!$D$19:$D$20)</c:f>
              <c:numCache>
                <c:formatCode>#,##0</c:formatCode>
                <c:ptCount val="14"/>
                <c:pt idx="0">
                  <c:v>2760</c:v>
                </c:pt>
                <c:pt idx="1">
                  <c:v>2660</c:v>
                </c:pt>
                <c:pt idx="2">
                  <c:v>2560</c:v>
                </c:pt>
                <c:pt idx="3">
                  <c:v>2550</c:v>
                </c:pt>
                <c:pt idx="4">
                  <c:v>2550</c:v>
                </c:pt>
                <c:pt idx="5">
                  <c:v>2760</c:v>
                </c:pt>
                <c:pt idx="6">
                  <c:v>2760</c:v>
                </c:pt>
                <c:pt idx="7">
                  <c:v>2760</c:v>
                </c:pt>
                <c:pt idx="8">
                  <c:v>2760</c:v>
                </c:pt>
                <c:pt idx="9">
                  <c:v>3000</c:v>
                </c:pt>
                <c:pt idx="10">
                  <c:v>2970</c:v>
                </c:pt>
                <c:pt idx="11">
                  <c:v>2760</c:v>
                </c:pt>
                <c:pt idx="12">
                  <c:v>2400</c:v>
                </c:pt>
                <c:pt idx="13">
                  <c:v>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401608"/>
        <c:axId val="2092405368"/>
      </c:barChart>
      <c:lineChart>
        <c:grouping val="standard"/>
        <c:varyColors val="1"/>
        <c:ser>
          <c:idx val="1"/>
          <c:order val="2"/>
          <c:tx>
            <c:strRef>
              <c:f>'KPI Stage Financials'!$G$5</c:f>
              <c:strCache>
                <c:ptCount val="1"/>
                <c:pt idx="0">
                  <c:v>Variance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marker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16-4484-A5EB-235BC332D3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16-4484-A5EB-235BC332D3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16-4484-A5EB-235BC332D3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16-4484-A5EB-235BC332D3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516-4484-A5EB-235BC332D38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516-4484-A5EB-235BC332D3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516-4484-A5EB-235BC332D38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516-4484-A5EB-235BC332D388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Financials'!$G$6:$G$20</c15:sqref>
                  </c15:fullRef>
                </c:ext>
              </c:extLst>
              <c:f>('KPI Stage Financials'!$G$6:$G$17,'KPI Stage Financials'!$G$19:$G$20)</c:f>
              <c:numCache>
                <c:formatCode>#,##0</c:formatCode>
                <c:ptCount val="14"/>
                <c:pt idx="0">
                  <c:v>0</c:v>
                </c:pt>
                <c:pt idx="1">
                  <c:v>-100</c:v>
                </c:pt>
                <c:pt idx="2">
                  <c:v>-100</c:v>
                </c:pt>
                <c:pt idx="3">
                  <c:v>100</c:v>
                </c:pt>
                <c:pt idx="4">
                  <c:v>50</c:v>
                </c:pt>
                <c:pt idx="5">
                  <c:v>0</c:v>
                </c:pt>
                <c:pt idx="6">
                  <c:v>0</c:v>
                </c:pt>
                <c:pt idx="7">
                  <c:v>60</c:v>
                </c:pt>
                <c:pt idx="8">
                  <c:v>10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740479"/>
        <c:axId val="1542239119"/>
      </c:line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  <c:valAx>
        <c:axId val="154223911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472740479"/>
        <c:crosses val="max"/>
        <c:crossBetween val="between"/>
      </c:valAx>
      <c:catAx>
        <c:axId val="1472740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22391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>
              <a:outerShdw blurRad="50800" dist="50800" dir="5400000" algn="ctr" rotWithShape="0">
                <a:srgbClr val="000000">
                  <a:alpha val="37000"/>
                </a:srgbClr>
              </a:outerShd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outerShdw blurRad="50800" dist="50800" dir="5400000" algn="ctr" rotWithShape="0">
                  <a:srgbClr val="000000">
                    <a:alpha val="37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'KPI Stage Financials'!$C$6:$C$20</c:f>
              <c:strCache>
                <c:ptCount val="1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</c:strCache>
            </c:strRef>
          </c:xVal>
          <c:y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FA-4455-AA66-1D03A7FA271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13279743"/>
        <c:axId val="303379807"/>
      </c:scatterChart>
      <c:valAx>
        <c:axId val="31327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379807"/>
        <c:crosses val="autoZero"/>
        <c:crossBetween val="midCat"/>
      </c:valAx>
      <c:valAx>
        <c:axId val="30337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279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2024'!$K$8:$V$8</c:f>
              <c:numCache>
                <c:formatCode>#,##0</c:formatCode>
                <c:ptCount val="12"/>
                <c:pt idx="0">
                  <c:v>157584</c:v>
                </c:pt>
                <c:pt idx="1">
                  <c:v>241284.39999999997</c:v>
                </c:pt>
                <c:pt idx="2">
                  <c:v>189767.2</c:v>
                </c:pt>
                <c:pt idx="3">
                  <c:v>264490.8</c:v>
                </c:pt>
                <c:pt idx="4">
                  <c:v>200442.4</c:v>
                </c:pt>
                <c:pt idx="5">
                  <c:v>224042</c:v>
                </c:pt>
                <c:pt idx="6">
                  <c:v>210553.59999999998</c:v>
                </c:pt>
                <c:pt idx="7">
                  <c:v>229509.2</c:v>
                </c:pt>
                <c:pt idx="8">
                  <c:v>238236.79999999999</c:v>
                </c:pt>
                <c:pt idx="9">
                  <c:v>277020.40000000002</c:v>
                </c:pt>
                <c:pt idx="10">
                  <c:v>285980</c:v>
                </c:pt>
                <c:pt idx="11">
                  <c:v>290479.59999999998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F-4AD1-80AC-1E69F404F42C}"/>
            </c:ext>
          </c:extLst>
        </c:ser>
        <c:ser>
          <c:idx val="1"/>
          <c:order val="1"/>
          <c:tx>
            <c:strRef>
              <c:f>'Statements Summary 2024'!$B$11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2024'!$K$11:$V$11</c:f>
              <c:numCache>
                <c:formatCode>#,##0</c:formatCode>
                <c:ptCount val="12"/>
                <c:pt idx="0">
                  <c:v>450000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F-4AD1-80AC-1E69F404F42C}"/>
            </c:ext>
          </c:extLst>
        </c:ser>
        <c:ser>
          <c:idx val="2"/>
          <c:order val="2"/>
          <c:tx>
            <c:strRef>
              <c:f>'Statements Summary 2024'!$B$15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2024'!$B$16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2024'!$K$16:$V$16</c:f>
              <c:numCache>
                <c:formatCode>#,##0</c:formatCode>
                <c:ptCount val="12"/>
                <c:pt idx="0">
                  <c:v>450000</c:v>
                </c:pt>
                <c:pt idx="1">
                  <c:v>241284.39999999997</c:v>
                </c:pt>
                <c:pt idx="2">
                  <c:v>189767.2</c:v>
                </c:pt>
                <c:pt idx="3">
                  <c:v>264490.8</c:v>
                </c:pt>
                <c:pt idx="4">
                  <c:v>200442.4</c:v>
                </c:pt>
                <c:pt idx="5">
                  <c:v>224042</c:v>
                </c:pt>
                <c:pt idx="6">
                  <c:v>210553.59999999998</c:v>
                </c:pt>
                <c:pt idx="7">
                  <c:v>229509.2</c:v>
                </c:pt>
                <c:pt idx="8">
                  <c:v>238236.79999999999</c:v>
                </c:pt>
                <c:pt idx="9">
                  <c:v>277020.40000000002</c:v>
                </c:pt>
                <c:pt idx="10">
                  <c:v>285980</c:v>
                </c:pt>
                <c:pt idx="11">
                  <c:v>290479.59999999998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3F-4AD1-80AC-1E69F404F42C}"/>
            </c:ext>
          </c:extLst>
        </c:ser>
        <c:ser>
          <c:idx val="4"/>
          <c:order val="4"/>
          <c:tx>
            <c:strRef>
              <c:f>'Statements Summary 2024'!$B$17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2024'!$K$4:$V$4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2024'!$K$17:$V$17</c:f>
              <c:numCache>
                <c:formatCode>#,##0</c:formatCode>
                <c:ptCount val="12"/>
                <c:pt idx="0">
                  <c:v>315168</c:v>
                </c:pt>
                <c:pt idx="1">
                  <c:v>465750.79999999987</c:v>
                </c:pt>
                <c:pt idx="2">
                  <c:v>362716.39999999997</c:v>
                </c:pt>
                <c:pt idx="3">
                  <c:v>512163.60000000003</c:v>
                </c:pt>
                <c:pt idx="4">
                  <c:v>384066.80000000005</c:v>
                </c:pt>
                <c:pt idx="5">
                  <c:v>431266</c:v>
                </c:pt>
                <c:pt idx="6">
                  <c:v>404289.19999999995</c:v>
                </c:pt>
                <c:pt idx="7">
                  <c:v>442200.39999999997</c:v>
                </c:pt>
                <c:pt idx="8">
                  <c:v>459655.60000000003</c:v>
                </c:pt>
                <c:pt idx="9">
                  <c:v>537222.80000000005</c:v>
                </c:pt>
                <c:pt idx="10">
                  <c:v>555142</c:v>
                </c:pt>
                <c:pt idx="11">
                  <c:v>564141.19999999995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'KPI Stage Financials'!$C$6:$C$20</c:f>
              <c:strCache>
                <c:ptCount val="1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</c:strCache>
            </c:strRef>
          </c:cat>
          <c: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CE-42DF-8FC1-E3D68557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Return on Investment</a:t>
            </a:r>
            <a:r>
              <a:rPr lang="en-GB" baseline="0"/>
              <a:t> (ROI) For Projected Services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Spend'!$B$5</c:f>
              <c:strCache>
                <c:ptCount val="1"/>
                <c:pt idx="0">
                  <c:v>Planned Value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Spend'!$C$5:$N$5</c:f>
              <c:numCache>
                <c:formatCode>#,##0</c:formatCode>
                <c:ptCount val="12"/>
                <c:pt idx="0">
                  <c:v>3500</c:v>
                </c:pt>
                <c:pt idx="1">
                  <c:v>4000</c:v>
                </c:pt>
                <c:pt idx="2">
                  <c:v>4500</c:v>
                </c:pt>
                <c:pt idx="3">
                  <c:v>5500</c:v>
                </c:pt>
                <c:pt idx="4">
                  <c:v>6500</c:v>
                </c:pt>
                <c:pt idx="5">
                  <c:v>7500</c:v>
                </c:pt>
                <c:pt idx="6">
                  <c:v>8500</c:v>
                </c:pt>
                <c:pt idx="7">
                  <c:v>11000</c:v>
                </c:pt>
                <c:pt idx="8">
                  <c:v>9500</c:v>
                </c:pt>
                <c:pt idx="9">
                  <c:v>9600</c:v>
                </c:pt>
                <c:pt idx="10">
                  <c:v>9700</c:v>
                </c:pt>
                <c:pt idx="11">
                  <c:v>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8E-408A-8D6E-2712D36A29AD}"/>
            </c:ext>
          </c:extLst>
        </c:ser>
        <c:ser>
          <c:idx val="1"/>
          <c:order val="1"/>
          <c:tx>
            <c:strRef>
              <c:f>'KPI Spend'!$B$6</c:f>
              <c:strCache>
                <c:ptCount val="1"/>
                <c:pt idx="0">
                  <c:v>Expenditure Service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Spend'!$C$6:$N$6</c:f>
              <c:numCache>
                <c:formatCode>#,##0</c:formatCode>
                <c:ptCount val="12"/>
                <c:pt idx="0">
                  <c:v>4400</c:v>
                </c:pt>
                <c:pt idx="1">
                  <c:v>3800</c:v>
                </c:pt>
                <c:pt idx="2">
                  <c:v>4500</c:v>
                </c:pt>
                <c:pt idx="3">
                  <c:v>5500</c:v>
                </c:pt>
                <c:pt idx="4">
                  <c:v>6000</c:v>
                </c:pt>
                <c:pt idx="5">
                  <c:v>8500</c:v>
                </c:pt>
                <c:pt idx="6">
                  <c:v>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8E-408A-8D6E-2712D36A29AD}"/>
            </c:ext>
          </c:extLst>
        </c:ser>
        <c:ser>
          <c:idx val="2"/>
          <c:order val="2"/>
          <c:tx>
            <c:strRef>
              <c:f>'KPI Spend'!$B$7</c:f>
              <c:strCache>
                <c:ptCount val="1"/>
                <c:pt idx="0">
                  <c:v>Earned Service 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Spend'!$C$7:$N$7</c:f>
              <c:numCache>
                <c:formatCode>#,##0</c:formatCode>
                <c:ptCount val="12"/>
                <c:pt idx="0">
                  <c:v>3100</c:v>
                </c:pt>
                <c:pt idx="1">
                  <c:v>4150</c:v>
                </c:pt>
                <c:pt idx="2">
                  <c:v>4700</c:v>
                </c:pt>
                <c:pt idx="3">
                  <c:v>5600</c:v>
                </c:pt>
                <c:pt idx="4">
                  <c:v>6900</c:v>
                </c:pt>
                <c:pt idx="5">
                  <c:v>7700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8E-408A-8D6E-2712D36A29AD}"/>
            </c:ext>
          </c:extLst>
        </c:ser>
        <c:ser>
          <c:idx val="3"/>
          <c:order val="3"/>
          <c:tx>
            <c:strRef>
              <c:f>'KPI Spend'!$B$8</c:f>
              <c:strCache>
                <c:ptCount val="1"/>
                <c:pt idx="0">
                  <c:v>Expenditure Service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Spend'!$C$8:$N$8</c:f>
              <c:numCache>
                <c:formatCode>#,##0</c:formatCode>
                <c:ptCount val="12"/>
                <c:pt idx="0">
                  <c:v>6000</c:v>
                </c:pt>
                <c:pt idx="1">
                  <c:v>6500</c:v>
                </c:pt>
                <c:pt idx="2">
                  <c:v>6700</c:v>
                </c:pt>
                <c:pt idx="3">
                  <c:v>6900</c:v>
                </c:pt>
                <c:pt idx="4">
                  <c:v>7200</c:v>
                </c:pt>
                <c:pt idx="5">
                  <c:v>7800</c:v>
                </c:pt>
                <c:pt idx="6">
                  <c:v>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8E-408A-8D6E-2712D36A29AD}"/>
            </c:ext>
          </c:extLst>
        </c:ser>
        <c:ser>
          <c:idx val="4"/>
          <c:order val="4"/>
          <c:tx>
            <c:strRef>
              <c:f>'KPI Spend'!$B$9</c:f>
              <c:strCache>
                <c:ptCount val="1"/>
                <c:pt idx="0">
                  <c:v>Earned Service 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Spend'!$C$9:$N$9</c:f>
              <c:numCache>
                <c:formatCode>#,##0</c:formatCode>
                <c:ptCount val="12"/>
                <c:pt idx="0">
                  <c:v>5700</c:v>
                </c:pt>
                <c:pt idx="1">
                  <c:v>6250</c:v>
                </c:pt>
                <c:pt idx="2">
                  <c:v>6400</c:v>
                </c:pt>
                <c:pt idx="3">
                  <c:v>6500</c:v>
                </c:pt>
                <c:pt idx="4">
                  <c:v>7000</c:v>
                </c:pt>
                <c:pt idx="5">
                  <c:v>7550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8E-408A-8D6E-2712D36A29AD}"/>
            </c:ext>
          </c:extLst>
        </c:ser>
        <c:ser>
          <c:idx val="5"/>
          <c:order val="5"/>
          <c:tx>
            <c:strRef>
              <c:f>'KPI Spend'!$B$10</c:f>
              <c:strCache>
                <c:ptCount val="1"/>
                <c:pt idx="0">
                  <c:v>Expenditure Service 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Spend'!$C$10:$N$10</c:f>
              <c:numCache>
                <c:formatCode>#,##0</c:formatCode>
                <c:ptCount val="12"/>
                <c:pt idx="0">
                  <c:v>2700</c:v>
                </c:pt>
                <c:pt idx="1">
                  <c:v>3100</c:v>
                </c:pt>
                <c:pt idx="2">
                  <c:v>3500</c:v>
                </c:pt>
                <c:pt idx="3">
                  <c:v>4300</c:v>
                </c:pt>
                <c:pt idx="4">
                  <c:v>5100</c:v>
                </c:pt>
                <c:pt idx="5">
                  <c:v>6500</c:v>
                </c:pt>
                <c:pt idx="6">
                  <c:v>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8E-408A-8D6E-2712D36A29AD}"/>
            </c:ext>
          </c:extLst>
        </c:ser>
        <c:ser>
          <c:idx val="6"/>
          <c:order val="6"/>
          <c:tx>
            <c:strRef>
              <c:f>'KPI Spend'!$B$11</c:f>
              <c:strCache>
                <c:ptCount val="1"/>
                <c:pt idx="0">
                  <c:v>Earned Service 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Spend'!$C$11:$N$11</c:f>
              <c:numCache>
                <c:formatCode>#,##0</c:formatCode>
                <c:ptCount val="12"/>
                <c:pt idx="0">
                  <c:v>3600</c:v>
                </c:pt>
                <c:pt idx="1">
                  <c:v>3950</c:v>
                </c:pt>
                <c:pt idx="2">
                  <c:v>4100</c:v>
                </c:pt>
                <c:pt idx="3">
                  <c:v>5500</c:v>
                </c:pt>
                <c:pt idx="4">
                  <c:v>7100</c:v>
                </c:pt>
                <c:pt idx="5">
                  <c:v>7450</c:v>
                </c:pt>
                <c:pt idx="6">
                  <c:v>8800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8E-408A-8D6E-2712D36A2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58928"/>
        <c:axId val="339634576"/>
      </c:lineChart>
      <c:catAx>
        <c:axId val="34265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34576"/>
        <c:crosses val="autoZero"/>
        <c:auto val="1"/>
        <c:lblAlgn val="ctr"/>
        <c:lblOffset val="100"/>
        <c:noMultiLvlLbl val="0"/>
      </c:catAx>
      <c:valAx>
        <c:axId val="33963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65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Spend'!$D$33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Spend'!$D$34:$D$43</c:f>
              <c:numCache>
                <c:formatCode>#,##0</c:formatCode>
                <c:ptCount val="10"/>
                <c:pt idx="0">
                  <c:v>15860</c:v>
                </c:pt>
                <c:pt idx="1">
                  <c:v>13760</c:v>
                </c:pt>
                <c:pt idx="2">
                  <c:v>14940</c:v>
                </c:pt>
                <c:pt idx="3">
                  <c:v>12653</c:v>
                </c:pt>
                <c:pt idx="4">
                  <c:v>9478</c:v>
                </c:pt>
                <c:pt idx="5">
                  <c:v>11600</c:v>
                </c:pt>
                <c:pt idx="6">
                  <c:v>13785</c:v>
                </c:pt>
                <c:pt idx="7">
                  <c:v>28283</c:v>
                </c:pt>
                <c:pt idx="8">
                  <c:v>15438</c:v>
                </c:pt>
                <c:pt idx="9">
                  <c:v>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A-4114-8208-C8186CA8DE1E}"/>
            </c:ext>
          </c:extLst>
        </c:ser>
        <c:ser>
          <c:idx val="1"/>
          <c:order val="1"/>
          <c:tx>
            <c:strRef>
              <c:f>'KPI Spend'!$E$33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Spend'!$E$34:$E$43</c:f>
              <c:numCache>
                <c:formatCode>#,##0</c:formatCode>
                <c:ptCount val="10"/>
                <c:pt idx="0">
                  <c:v>15650</c:v>
                </c:pt>
                <c:pt idx="1">
                  <c:v>13018</c:v>
                </c:pt>
                <c:pt idx="2">
                  <c:v>13259</c:v>
                </c:pt>
                <c:pt idx="3">
                  <c:v>11368</c:v>
                </c:pt>
                <c:pt idx="4">
                  <c:v>9003</c:v>
                </c:pt>
                <c:pt idx="5">
                  <c:v>10900</c:v>
                </c:pt>
                <c:pt idx="6">
                  <c:v>12550</c:v>
                </c:pt>
                <c:pt idx="7">
                  <c:v>26300</c:v>
                </c:pt>
                <c:pt idx="8">
                  <c:v>14400</c:v>
                </c:pt>
                <c:pt idx="9">
                  <c:v>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A-4114-8208-C8186CA8D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0736"/>
        <c:axId val="349460544"/>
      </c:barChart>
      <c:catAx>
        <c:axId val="206281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60544"/>
        <c:crosses val="autoZero"/>
        <c:auto val="1"/>
        <c:lblAlgn val="ctr"/>
        <c:lblOffset val="100"/>
        <c:noMultiLvlLbl val="0"/>
      </c:catAx>
      <c:valAx>
        <c:axId val="349460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Spend'!$I$33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Spend'!$I$34:$I$43</c:f>
              <c:numCache>
                <c:formatCode>#,##0</c:formatCode>
                <c:ptCount val="10"/>
                <c:pt idx="0">
                  <c:v>35916</c:v>
                </c:pt>
                <c:pt idx="1">
                  <c:v>15534</c:v>
                </c:pt>
                <c:pt idx="2">
                  <c:v>20719</c:v>
                </c:pt>
                <c:pt idx="3">
                  <c:v>20242</c:v>
                </c:pt>
                <c:pt idx="4">
                  <c:v>15177</c:v>
                </c:pt>
                <c:pt idx="5">
                  <c:v>11263</c:v>
                </c:pt>
                <c:pt idx="6">
                  <c:v>18852</c:v>
                </c:pt>
                <c:pt idx="7">
                  <c:v>38380</c:v>
                </c:pt>
                <c:pt idx="8">
                  <c:v>9731</c:v>
                </c:pt>
                <c:pt idx="9">
                  <c:v>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4-470C-A0B1-44F08ABDB7B4}"/>
            </c:ext>
          </c:extLst>
        </c:ser>
        <c:ser>
          <c:idx val="1"/>
          <c:order val="1"/>
          <c:tx>
            <c:strRef>
              <c:f>'KPI Spend'!$J$33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Spend'!$J$34:$J$43</c:f>
              <c:numCache>
                <c:formatCode>#,##0</c:formatCode>
                <c:ptCount val="10"/>
                <c:pt idx="0">
                  <c:v>37957</c:v>
                </c:pt>
                <c:pt idx="1">
                  <c:v>15900</c:v>
                </c:pt>
                <c:pt idx="2">
                  <c:v>22784</c:v>
                </c:pt>
                <c:pt idx="3">
                  <c:v>26000</c:v>
                </c:pt>
                <c:pt idx="4">
                  <c:v>17581</c:v>
                </c:pt>
                <c:pt idx="5">
                  <c:v>15766</c:v>
                </c:pt>
                <c:pt idx="6">
                  <c:v>20375</c:v>
                </c:pt>
                <c:pt idx="7">
                  <c:v>39983</c:v>
                </c:pt>
                <c:pt idx="8">
                  <c:v>14240</c:v>
                </c:pt>
                <c:pt idx="9">
                  <c:v>12610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4-470C-A0B1-44F08ABD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3136"/>
        <c:axId val="349440704"/>
      </c:barChart>
      <c:catAx>
        <c:axId val="2062813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0704"/>
        <c:crosses val="autoZero"/>
        <c:auto val="1"/>
        <c:lblAlgn val="ctr"/>
        <c:lblOffset val="100"/>
        <c:noMultiLvlLbl val="0"/>
      </c:catAx>
      <c:valAx>
        <c:axId val="3494407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Profit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Spend'!$L$33</c:f>
              <c:strCache>
                <c:ptCount val="1"/>
                <c:pt idx="0">
                  <c:v>GROSS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Spend'!$L$34:$L$43</c:f>
              <c:numCache>
                <c:formatCode>0%</c:formatCode>
                <c:ptCount val="10"/>
                <c:pt idx="0">
                  <c:v>0.58769133493163317</c:v>
                </c:pt>
                <c:pt idx="1">
                  <c:v>0.18125786163522012</c:v>
                </c:pt>
                <c:pt idx="2">
                  <c:v>0.4180565308988764</c:v>
                </c:pt>
                <c:pt idx="3">
                  <c:v>0.5627692307692308</c:v>
                </c:pt>
                <c:pt idx="4">
                  <c:v>0.48791308799271943</c:v>
                </c:pt>
                <c:pt idx="5">
                  <c:v>0.30863884308004569</c:v>
                </c:pt>
                <c:pt idx="6">
                  <c:v>0.38404907975460123</c:v>
                </c:pt>
                <c:pt idx="7">
                  <c:v>0.34222044368856763</c:v>
                </c:pt>
                <c:pt idx="8">
                  <c:v>-1.1235955056179775E-2</c:v>
                </c:pt>
                <c:pt idx="9">
                  <c:v>0.27145122918318793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C6-4AA2-9F0B-EE4DC015F8FD}"/>
            </c:ext>
          </c:extLst>
        </c:ser>
        <c:ser>
          <c:idx val="1"/>
          <c:order val="1"/>
          <c:tx>
            <c:strRef>
              <c:f>'KPI Spend'!$M$33</c:f>
              <c:strCache>
                <c:ptCount val="1"/>
                <c:pt idx="0">
                  <c:v>NET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Spend'!$M$34:$M$43</c:f>
              <c:numCache>
                <c:formatCode>0%</c:formatCode>
                <c:ptCount val="10"/>
                <c:pt idx="0">
                  <c:v>0.34312511526200701</c:v>
                </c:pt>
                <c:pt idx="1">
                  <c:v>-0.23371069182389936</c:v>
                </c:pt>
                <c:pt idx="2">
                  <c:v>8.7693117977528087E-2</c:v>
                </c:pt>
                <c:pt idx="3">
                  <c:v>0.19384615384615383</c:v>
                </c:pt>
                <c:pt idx="4">
                  <c:v>1.0579602980490302E-2</c:v>
                </c:pt>
                <c:pt idx="5">
                  <c:v>-0.10300646961816567</c:v>
                </c:pt>
                <c:pt idx="6">
                  <c:v>6.1006134969325151E-2</c:v>
                </c:pt>
                <c:pt idx="7">
                  <c:v>0.1519895955781207</c:v>
                </c:pt>
                <c:pt idx="8">
                  <c:v>-0.40919943820224719</c:v>
                </c:pt>
                <c:pt idx="9">
                  <c:v>-0.23187946074544014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6-4AA2-9F0B-EE4DC015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812176"/>
        <c:axId val="350242384"/>
      </c:lineChart>
      <c:catAx>
        <c:axId val="20628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242384"/>
        <c:crosses val="autoZero"/>
        <c:auto val="1"/>
        <c:lblAlgn val="ctr"/>
        <c:lblOffset val="100"/>
        <c:noMultiLvlLbl val="0"/>
      </c:catAx>
      <c:valAx>
        <c:axId val="35024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TimeData!$C$3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TimeData!$D$3:$O$3</c:f>
              <c:numCache>
                <c:formatCode>#,##0</c:formatCode>
                <c:ptCount val="12"/>
                <c:pt idx="0" formatCode="0">
                  <c:v>37</c:v>
                </c:pt>
                <c:pt idx="1">
                  <c:v>41</c:v>
                </c:pt>
                <c:pt idx="2">
                  <c:v>46</c:v>
                </c:pt>
                <c:pt idx="3">
                  <c:v>48</c:v>
                </c:pt>
                <c:pt idx="4">
                  <c:v>45</c:v>
                </c:pt>
                <c:pt idx="5">
                  <c:v>48</c:v>
                </c:pt>
                <c:pt idx="6">
                  <c:v>51</c:v>
                </c:pt>
                <c:pt idx="7">
                  <c:v>39</c:v>
                </c:pt>
                <c:pt idx="8">
                  <c:v>45</c:v>
                </c:pt>
                <c:pt idx="9">
                  <c:v>44</c:v>
                </c:pt>
                <c:pt idx="10">
                  <c:v>44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TimeData!$C$4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TimeData!$D$4:$O$4</c:f>
              <c:numCache>
                <c:formatCode>#,##0</c:formatCode>
                <c:ptCount val="12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50</c:v>
                </c:pt>
                <c:pt idx="6">
                  <c:v>50</c:v>
                </c:pt>
                <c:pt idx="7">
                  <c:v>42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4C-42B0-B394-EA7880C87BB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4C-42B0-B394-EA7880C87BB8}"/>
              </c:ext>
            </c:extLst>
          </c:dPt>
          <c:val>
            <c:numRef>
              <c:f>TimeData!$P$5:$Q$5</c:f>
              <c:numCache>
                <c:formatCode>0.0%</c:formatCode>
                <c:ptCount val="2"/>
                <c:pt idx="0">
                  <c:v>0.97074954296160876</c:v>
                </c:pt>
                <c:pt idx="1">
                  <c:v>2.9250457038391242E-2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C-42B0-B394-EA7880C87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TimeData!$C$9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TimeData!$D$9:$O$9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80</c:v>
                </c:pt>
                <c:pt idx="3">
                  <c:v>75</c:v>
                </c:pt>
                <c:pt idx="4">
                  <c:v>92</c:v>
                </c:pt>
                <c:pt idx="5">
                  <c:v>91</c:v>
                </c:pt>
                <c:pt idx="6">
                  <c:v>96</c:v>
                </c:pt>
                <c:pt idx="7">
                  <c:v>96</c:v>
                </c:pt>
                <c:pt idx="8">
                  <c:v>65</c:v>
                </c:pt>
                <c:pt idx="9">
                  <c:v>40</c:v>
                </c:pt>
                <c:pt idx="10">
                  <c:v>66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TimeData!$C$10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TimeData!$D$10:$O$10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86</c:v>
                </c:pt>
                <c:pt idx="3">
                  <c:v>92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72</c:v>
                </c:pt>
                <c:pt idx="9">
                  <c:v>48</c:v>
                </c:pt>
                <c:pt idx="10">
                  <c:v>65</c:v>
                </c:pt>
                <c:pt idx="11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AD-456C-8660-972CE91CFAA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AD-456C-8660-972CE91CFAA3}"/>
              </c:ext>
            </c:extLst>
          </c:dPt>
          <c:val>
            <c:numRef>
              <c:f>TimeData!$P$11:$Q$11</c:f>
              <c:numCache>
                <c:formatCode>0.0%</c:formatCode>
                <c:ptCount val="2"/>
                <c:pt idx="0">
                  <c:v>0.93870967741935485</c:v>
                </c:pt>
                <c:pt idx="1">
                  <c:v>6.1290322580645151E-2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D-456C-8660-972CE91CF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TimeData!$C$6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TimeData!$D$6:$O$6</c:f>
              <c:numCache>
                <c:formatCode>#,##0</c:formatCode>
                <c:ptCount val="12"/>
                <c:pt idx="0">
                  <c:v>75</c:v>
                </c:pt>
                <c:pt idx="1">
                  <c:v>52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44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40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TimeData!$C$7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TimeData!$D$7:$O$7</c:f>
              <c:numCache>
                <c:formatCode>#,##0</c:formatCode>
                <c:ptCount val="12"/>
                <c:pt idx="0">
                  <c:v>72</c:v>
                </c:pt>
                <c:pt idx="1">
                  <c:v>56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45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48</c:v>
                </c:pt>
                <c:pt idx="1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2024'!$K$86:$V$86</c:f>
              <c:numCache>
                <c:formatCode>#,##0</c:formatCode>
                <c:ptCount val="12"/>
                <c:pt idx="0">
                  <c:v>157584</c:v>
                </c:pt>
                <c:pt idx="1">
                  <c:v>382050.39999999997</c:v>
                </c:pt>
                <c:pt idx="2">
                  <c:v>554999.6</c:v>
                </c:pt>
                <c:pt idx="3">
                  <c:v>802672.39999999991</c:v>
                </c:pt>
                <c:pt idx="4">
                  <c:v>986296.79999999993</c:v>
                </c:pt>
                <c:pt idx="5">
                  <c:v>1193520.7999999998</c:v>
                </c:pt>
                <c:pt idx="6">
                  <c:v>1387256.4</c:v>
                </c:pt>
                <c:pt idx="7">
                  <c:v>1599947.5999999999</c:v>
                </c:pt>
                <c:pt idx="8">
                  <c:v>1821366.4</c:v>
                </c:pt>
                <c:pt idx="9">
                  <c:v>2081568.7999999998</c:v>
                </c:pt>
                <c:pt idx="10">
                  <c:v>2350730.7999999998</c:v>
                </c:pt>
                <c:pt idx="11">
                  <c:v>2624392.4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C-4F68-99DB-1225325C85C7}"/>
            </c:ext>
          </c:extLst>
        </c:ser>
        <c:ser>
          <c:idx val="2"/>
          <c:order val="2"/>
          <c:tx>
            <c:strRef>
              <c:f>'Statements Summary 2024'!$B$89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2024'!$K$89:$V$89</c:f>
              <c:numCache>
                <c:formatCode>#,##0</c:formatCode>
                <c:ptCount val="12"/>
                <c:pt idx="1">
                  <c:v>-81905.200000000012</c:v>
                </c:pt>
                <c:pt idx="2">
                  <c:v>-68185</c:v>
                </c:pt>
                <c:pt idx="3">
                  <c:v>-86025</c:v>
                </c:pt>
                <c:pt idx="4">
                  <c:v>-69172</c:v>
                </c:pt>
                <c:pt idx="5">
                  <c:v>-74231</c:v>
                </c:pt>
                <c:pt idx="6">
                  <c:v>-70018</c:v>
                </c:pt>
                <c:pt idx="7">
                  <c:v>-73916</c:v>
                </c:pt>
                <c:pt idx="8">
                  <c:v>-75257</c:v>
                </c:pt>
                <c:pt idx="9">
                  <c:v>-84112</c:v>
                </c:pt>
                <c:pt idx="10">
                  <c:v>-85511</c:v>
                </c:pt>
                <c:pt idx="11">
                  <c:v>-85795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71135"/>
        <c:axId val="912772575"/>
      </c:barChart>
      <c:lineChart>
        <c:grouping val="standard"/>
        <c:varyColors val="0"/>
        <c:ser>
          <c:idx val="1"/>
          <c:order val="1"/>
          <c:tx>
            <c:strRef>
              <c:f>'Statements Summary 2024'!$B$88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2024'!$K$88:$V$88</c:f>
              <c:numCache>
                <c:formatCode>#,##0</c:formatCode>
                <c:ptCount val="12"/>
                <c:pt idx="0">
                  <c:v>609295</c:v>
                </c:pt>
                <c:pt idx="1">
                  <c:v>835472.39999999991</c:v>
                </c:pt>
                <c:pt idx="2">
                  <c:v>1010132.6</c:v>
                </c:pt>
                <c:pt idx="3">
                  <c:v>1259516.3999999999</c:v>
                </c:pt>
                <c:pt idx="4">
                  <c:v>1444851.7999999998</c:v>
                </c:pt>
                <c:pt idx="5">
                  <c:v>1653786.7999999998</c:v>
                </c:pt>
                <c:pt idx="6">
                  <c:v>1849233.4</c:v>
                </c:pt>
                <c:pt idx="7">
                  <c:v>2063635.5999999999</c:v>
                </c:pt>
                <c:pt idx="8">
                  <c:v>2286765.4</c:v>
                </c:pt>
                <c:pt idx="9">
                  <c:v>2548678.7999999998</c:v>
                </c:pt>
                <c:pt idx="10">
                  <c:v>2819551.8</c:v>
                </c:pt>
                <c:pt idx="11">
                  <c:v>3094924.4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C-4F68-99DB-1225325C85C7}"/>
            </c:ext>
          </c:extLst>
        </c:ser>
        <c:ser>
          <c:idx val="3"/>
          <c:order val="3"/>
          <c:tx>
            <c:strRef>
              <c:f>'Statements Summary 2024'!$B$92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2024'!$K$92:$V$92</c:f>
              <c:numCache>
                <c:formatCode>#,##0</c:formatCode>
                <c:ptCount val="12"/>
                <c:pt idx="0">
                  <c:v>-2526</c:v>
                </c:pt>
                <c:pt idx="1">
                  <c:v>220385.19999999995</c:v>
                </c:pt>
                <c:pt idx="2">
                  <c:v>425583.6</c:v>
                </c:pt>
                <c:pt idx="3">
                  <c:v>673945.39999999991</c:v>
                </c:pt>
                <c:pt idx="4">
                  <c:v>892951.79999999981</c:v>
                </c:pt>
                <c:pt idx="5">
                  <c:v>1113645.7999999998</c:v>
                </c:pt>
                <c:pt idx="6">
                  <c:v>1330123.3999999999</c:v>
                </c:pt>
                <c:pt idx="7">
                  <c:v>1557445.5999999999</c:v>
                </c:pt>
                <c:pt idx="8">
                  <c:v>1796052.4</c:v>
                </c:pt>
                <c:pt idx="9">
                  <c:v>2065928.7999999998</c:v>
                </c:pt>
                <c:pt idx="10">
                  <c:v>2352220.7999999998</c:v>
                </c:pt>
                <c:pt idx="11">
                  <c:v>2644127.4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C-4F68-99DB-1225325C85C7}"/>
            </c:ext>
          </c:extLst>
        </c:ser>
        <c:ser>
          <c:idx val="4"/>
          <c:order val="4"/>
          <c:tx>
            <c:strRef>
              <c:f>'Statements Summary 2024'!$B$93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2024'!$K$93:$V$93</c:f>
              <c:numCache>
                <c:formatCode>#,##0</c:formatCode>
                <c:ptCount val="12"/>
                <c:pt idx="0">
                  <c:v>157584</c:v>
                </c:pt>
                <c:pt idx="1">
                  <c:v>382050.39999999997</c:v>
                </c:pt>
                <c:pt idx="2">
                  <c:v>554999.6</c:v>
                </c:pt>
                <c:pt idx="3">
                  <c:v>802672.39999999991</c:v>
                </c:pt>
                <c:pt idx="4">
                  <c:v>986296.79999999993</c:v>
                </c:pt>
                <c:pt idx="5">
                  <c:v>1193520.7999999998</c:v>
                </c:pt>
                <c:pt idx="6">
                  <c:v>1387256.4</c:v>
                </c:pt>
                <c:pt idx="7">
                  <c:v>1599947.5999999999</c:v>
                </c:pt>
                <c:pt idx="8">
                  <c:v>1821366.4</c:v>
                </c:pt>
                <c:pt idx="9">
                  <c:v>2081568.7999999998</c:v>
                </c:pt>
                <c:pt idx="10">
                  <c:v>2350730.7999999998</c:v>
                </c:pt>
                <c:pt idx="11">
                  <c:v>2624392.4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71135"/>
        <c:axId val="912772575"/>
      </c:lineChart>
      <c:catAx>
        <c:axId val="91277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2575"/>
        <c:crosses val="autoZero"/>
        <c:auto val="1"/>
        <c:lblAlgn val="ctr"/>
        <c:lblOffset val="100"/>
        <c:noMultiLvlLbl val="0"/>
      </c:catAx>
      <c:valAx>
        <c:axId val="91277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E6-48D6-BC69-BEC546E98964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E6-48D6-BC69-BEC546E98964}"/>
              </c:ext>
            </c:extLst>
          </c:dPt>
          <c:val>
            <c:numRef>
              <c:f>TimeData!$P$8:$Q$8</c:f>
              <c:numCache>
                <c:formatCode>0.0%</c:formatCode>
                <c:ptCount val="2"/>
                <c:pt idx="0">
                  <c:v>0.98081841432225059</c:v>
                </c:pt>
                <c:pt idx="1">
                  <c:v>1.9181585677749413E-2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6-48D6-BC69-BEC546E9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TimeData!$C$12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TimeData!$D$12:$O$12</c:f>
              <c:numCache>
                <c:formatCode>#,##0</c:formatCode>
                <c:ptCount val="12"/>
                <c:pt idx="0">
                  <c:v>102</c:v>
                </c:pt>
                <c:pt idx="1">
                  <c:v>92</c:v>
                </c:pt>
                <c:pt idx="2">
                  <c:v>99</c:v>
                </c:pt>
                <c:pt idx="3">
                  <c:v>98</c:v>
                </c:pt>
                <c:pt idx="4">
                  <c:v>102</c:v>
                </c:pt>
                <c:pt idx="5">
                  <c:v>102</c:v>
                </c:pt>
                <c:pt idx="6">
                  <c:v>86</c:v>
                </c:pt>
                <c:pt idx="7">
                  <c:v>86</c:v>
                </c:pt>
                <c:pt idx="8">
                  <c:v>89</c:v>
                </c:pt>
                <c:pt idx="9">
                  <c:v>108</c:v>
                </c:pt>
                <c:pt idx="10">
                  <c:v>107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TimeData!$C$13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TimeData!$D$13:$O$13</c:f>
              <c:numCache>
                <c:formatCode>#,##0</c:formatCode>
                <c:ptCount val="12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106</c:v>
                </c:pt>
                <c:pt idx="4">
                  <c:v>109</c:v>
                </c:pt>
                <c:pt idx="5">
                  <c:v>102</c:v>
                </c:pt>
                <c:pt idx="6">
                  <c:v>102</c:v>
                </c:pt>
                <c:pt idx="7">
                  <c:v>110</c:v>
                </c:pt>
                <c:pt idx="8">
                  <c:v>95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E8-449B-BF5F-DB3D5038FBE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E8-449B-BF5F-DB3D5038FBE5}"/>
              </c:ext>
            </c:extLst>
          </c:dPt>
          <c:val>
            <c:numRef>
              <c:f>TimeData!$P$14:$Q$14</c:f>
              <c:numCache>
                <c:formatCode>0.0%</c:formatCode>
                <c:ptCount val="2"/>
                <c:pt idx="0">
                  <c:v>0.94255663430420711</c:v>
                </c:pt>
                <c:pt idx="1">
                  <c:v>5.7443365695792892E-2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E8-449B-BF5F-DB3D5038F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TimeData!$C$15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TimeData!$D$15:$O$15</c:f>
              <c:numCache>
                <c:formatCode>#,##0</c:formatCode>
                <c:ptCount val="12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50</c:v>
                </c:pt>
                <c:pt idx="5">
                  <c:v>60</c:v>
                </c:pt>
                <c:pt idx="6">
                  <c:v>30</c:v>
                </c:pt>
                <c:pt idx="7">
                  <c:v>23</c:v>
                </c:pt>
                <c:pt idx="8">
                  <c:v>90</c:v>
                </c:pt>
                <c:pt idx="9">
                  <c:v>66</c:v>
                </c:pt>
                <c:pt idx="10">
                  <c:v>45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TimeData!$C$16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TimeData!$D$16:$O$16</c:f>
              <c:numCache>
                <c:formatCode>#,##0</c:formatCode>
                <c:ptCount val="12"/>
                <c:pt idx="0">
                  <c:v>48</c:v>
                </c:pt>
                <c:pt idx="1">
                  <c:v>48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67</c:v>
                </c:pt>
                <c:pt idx="6">
                  <c:v>32</c:v>
                </c:pt>
                <c:pt idx="7">
                  <c:v>24</c:v>
                </c:pt>
                <c:pt idx="8">
                  <c:v>90</c:v>
                </c:pt>
                <c:pt idx="9">
                  <c:v>66</c:v>
                </c:pt>
                <c:pt idx="10">
                  <c:v>48</c:v>
                </c:pt>
                <c:pt idx="1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9E-4004-BCC8-9CA0ADBC179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9E-4004-BCC8-9CA0ADBC179D}"/>
              </c:ext>
            </c:extLst>
          </c:dPt>
          <c:val>
            <c:numRef>
              <c:f>TimeData!$P$17:$Q$17</c:f>
              <c:numCache>
                <c:formatCode>0.0%</c:formatCode>
                <c:ptCount val="2"/>
                <c:pt idx="0">
                  <c:v>0.9889064976228209</c:v>
                </c:pt>
                <c:pt idx="1">
                  <c:v>1.1093502377179099E-2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E-4004-BCC8-9CA0ADBC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TimeData!$C$18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TimeData!$D$18:$O$18</c:f>
              <c:numCache>
                <c:formatCode>#,##0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21</c:v>
                </c:pt>
                <c:pt idx="3">
                  <c:v>24</c:v>
                </c:pt>
                <c:pt idx="4">
                  <c:v>24</c:v>
                </c:pt>
                <c:pt idx="5">
                  <c:v>34</c:v>
                </c:pt>
                <c:pt idx="6">
                  <c:v>52</c:v>
                </c:pt>
                <c:pt idx="7">
                  <c:v>72</c:v>
                </c:pt>
                <c:pt idx="8">
                  <c:v>70</c:v>
                </c:pt>
                <c:pt idx="9">
                  <c:v>24</c:v>
                </c:pt>
                <c:pt idx="10">
                  <c:v>40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TimeData!$C$19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TimeData!$D$19:$O$19</c:f>
              <c:numCache>
                <c:formatCode>#,##0</c:formatCode>
                <c:ptCount val="12"/>
                <c:pt idx="0">
                  <c:v>16</c:v>
                </c:pt>
                <c:pt idx="1">
                  <c:v>10</c:v>
                </c:pt>
                <c:pt idx="2">
                  <c:v>21</c:v>
                </c:pt>
                <c:pt idx="3">
                  <c:v>24</c:v>
                </c:pt>
                <c:pt idx="4">
                  <c:v>26</c:v>
                </c:pt>
                <c:pt idx="5">
                  <c:v>32</c:v>
                </c:pt>
                <c:pt idx="6">
                  <c:v>48</c:v>
                </c:pt>
                <c:pt idx="7">
                  <c:v>72</c:v>
                </c:pt>
                <c:pt idx="8">
                  <c:v>72</c:v>
                </c:pt>
                <c:pt idx="9">
                  <c:v>24</c:v>
                </c:pt>
                <c:pt idx="10">
                  <c:v>48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B8-4AA2-9E38-967594D99A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B8-4AA2-9E38-967594D99AB6}"/>
              </c:ext>
            </c:extLst>
          </c:dPt>
          <c:val>
            <c:numRef>
              <c:f>TimeData!$P$20:$Q$20</c:f>
              <c:numCache>
                <c:formatCode>0.0%</c:formatCode>
                <c:ptCount val="2"/>
                <c:pt idx="0">
                  <c:v>0.96926713947990539</c:v>
                </c:pt>
                <c:pt idx="1">
                  <c:v>3.0732860520094607E-2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8-4AA2-9E38-967594D99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2024'!$E$85:$I$85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2024'!$E$86:$I$86</c:f>
              <c:numCache>
                <c:formatCode>#,##0</c:formatCode>
                <c:ptCount val="5"/>
                <c:pt idx="0">
                  <c:v>2624392.4</c:v>
                </c:pt>
                <c:pt idx="1">
                  <c:v>7339792.1871999996</c:v>
                </c:pt>
                <c:pt idx="2">
                  <c:v>13149988.987199999</c:v>
                </c:pt>
                <c:pt idx="3">
                  <c:v>22338154.987199992</c:v>
                </c:pt>
                <c:pt idx="4">
                  <c:v>32696764.987199977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4-4576-85A4-AE9A296A7F3E}"/>
            </c:ext>
          </c:extLst>
        </c:ser>
        <c:ser>
          <c:idx val="2"/>
          <c:order val="2"/>
          <c:tx>
            <c:strRef>
              <c:f>'Statements Summary 2024'!$B$89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2024'!$E$85:$I$85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'Statements Summary 2024'!$E$89:$I$89</c:f>
              <c:numCache>
                <c:formatCode>#,##0</c:formatCode>
                <c:ptCount val="5"/>
                <c:pt idx="0">
                  <c:v>-85795</c:v>
                </c:pt>
                <c:pt idx="1">
                  <c:v>-113058.74660000001</c:v>
                </c:pt>
                <c:pt idx="2">
                  <c:v>-131957</c:v>
                </c:pt>
                <c:pt idx="3">
                  <c:v>-187344.40000000002</c:v>
                </c:pt>
                <c:pt idx="4">
                  <c:v>-210827.40000000002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2024'!$B$88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2024'!$E$88:$I$88</c:f>
              <c:numCache>
                <c:formatCode>#,##0</c:formatCode>
                <c:ptCount val="5"/>
                <c:pt idx="0">
                  <c:v>3094924.4</c:v>
                </c:pt>
                <c:pt idx="1">
                  <c:v>7828124.1871999996</c:v>
                </c:pt>
                <c:pt idx="2">
                  <c:v>13659469.987199999</c:v>
                </c:pt>
                <c:pt idx="3">
                  <c:v>22869172.987199992</c:v>
                </c:pt>
                <c:pt idx="4">
                  <c:v>33249164.987199977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B4-4576-85A4-AE9A296A7F3E}"/>
            </c:ext>
          </c:extLst>
        </c:ser>
        <c:ser>
          <c:idx val="3"/>
          <c:order val="3"/>
          <c:tx>
            <c:strRef>
              <c:f>'Statements Summary 2024'!$B$92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2024'!$E$92:$I$92</c:f>
              <c:numCache>
                <c:formatCode>#,##0</c:formatCode>
                <c:ptCount val="5"/>
                <c:pt idx="0">
                  <c:v>2644127.4</c:v>
                </c:pt>
                <c:pt idx="1">
                  <c:v>7551879.4405999994</c:v>
                </c:pt>
                <c:pt idx="2">
                  <c:v>13527512.987199999</c:v>
                </c:pt>
                <c:pt idx="3">
                  <c:v>22681828.587199993</c:v>
                </c:pt>
                <c:pt idx="4">
                  <c:v>33038337.587199979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B4-4576-85A4-AE9A296A7F3E}"/>
            </c:ext>
          </c:extLst>
        </c:ser>
        <c:ser>
          <c:idx val="4"/>
          <c:order val="4"/>
          <c:tx>
            <c:strRef>
              <c:f>'Statements Summary 2024'!$B$93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2024'!$E$93:$I$93</c:f>
              <c:numCache>
                <c:formatCode>#,##0</c:formatCode>
                <c:ptCount val="5"/>
                <c:pt idx="0">
                  <c:v>2624392.4</c:v>
                </c:pt>
                <c:pt idx="1">
                  <c:v>7339792.1871999996</c:v>
                </c:pt>
                <c:pt idx="2">
                  <c:v>13149988.987199999</c:v>
                </c:pt>
                <c:pt idx="3">
                  <c:v>22338154.987199992</c:v>
                </c:pt>
                <c:pt idx="4">
                  <c:v>32696764.987199977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4" Type="http://schemas.openxmlformats.org/officeDocument/2006/relationships/chart" Target="../charts/chart74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2.xml"/><Relationship Id="rId3" Type="http://schemas.openxmlformats.org/officeDocument/2006/relationships/chart" Target="../charts/chart77.xml"/><Relationship Id="rId7" Type="http://schemas.openxmlformats.org/officeDocument/2006/relationships/chart" Target="../charts/chart81.xml"/><Relationship Id="rId12" Type="http://schemas.openxmlformats.org/officeDocument/2006/relationships/chart" Target="../charts/chart86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6" Type="http://schemas.openxmlformats.org/officeDocument/2006/relationships/chart" Target="../charts/chart80.xml"/><Relationship Id="rId11" Type="http://schemas.openxmlformats.org/officeDocument/2006/relationships/chart" Target="../charts/chart85.xml"/><Relationship Id="rId5" Type="http://schemas.openxmlformats.org/officeDocument/2006/relationships/chart" Target="../charts/chart79.xml"/><Relationship Id="rId10" Type="http://schemas.openxmlformats.org/officeDocument/2006/relationships/chart" Target="../charts/chart84.xml"/><Relationship Id="rId4" Type="http://schemas.openxmlformats.org/officeDocument/2006/relationships/chart" Target="../charts/chart78.xml"/><Relationship Id="rId9" Type="http://schemas.openxmlformats.org/officeDocument/2006/relationships/chart" Target="../charts/chart8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61362</xdr:colOff>
      <xdr:row>63</xdr:row>
      <xdr:rowOff>181476</xdr:rowOff>
    </xdr:from>
    <xdr:to>
      <xdr:col>22</xdr:col>
      <xdr:colOff>30882</xdr:colOff>
      <xdr:row>87</xdr:row>
      <xdr:rowOff>80210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93445</xdr:colOff>
      <xdr:row>41</xdr:row>
      <xdr:rowOff>21457</xdr:rowOff>
    </xdr:from>
    <xdr:to>
      <xdr:col>22</xdr:col>
      <xdr:colOff>54542</xdr:colOff>
      <xdr:row>62</xdr:row>
      <xdr:rowOff>178068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269507</xdr:colOff>
      <xdr:row>41</xdr:row>
      <xdr:rowOff>18049</xdr:rowOff>
    </xdr:from>
    <xdr:to>
      <xdr:col>15</xdr:col>
      <xdr:colOff>734726</xdr:colOff>
      <xdr:row>63</xdr:row>
      <xdr:rowOff>10025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24</xdr:col>
      <xdr:colOff>593558</xdr:colOff>
      <xdr:row>22</xdr:row>
      <xdr:rowOff>154007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E6A6F1-24E6-49E1-A8CC-ABAFED169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8019</xdr:colOff>
      <xdr:row>23</xdr:row>
      <xdr:rowOff>75399</xdr:rowOff>
    </xdr:from>
    <xdr:to>
      <xdr:col>24</xdr:col>
      <xdr:colOff>601577</xdr:colOff>
      <xdr:row>42</xdr:row>
      <xdr:rowOff>137965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EF6146-5BB5-4855-AD80-BDCBA0928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8020</xdr:colOff>
      <xdr:row>43</xdr:row>
      <xdr:rowOff>59358</xdr:rowOff>
    </xdr:from>
    <xdr:to>
      <xdr:col>25</xdr:col>
      <xdr:colOff>8019</xdr:colOff>
      <xdr:row>63</xdr:row>
      <xdr:rowOff>19253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2280BE-025B-4F8B-94F2-819E9AB50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10426</xdr:colOff>
      <xdr:row>63</xdr:row>
      <xdr:rowOff>150798</xdr:rowOff>
    </xdr:from>
    <xdr:to>
      <xdr:col>24</xdr:col>
      <xdr:colOff>563878</xdr:colOff>
      <xdr:row>85</xdr:row>
      <xdr:rowOff>145986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899E04-540C-4237-9740-3639ADE95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18046</xdr:colOff>
      <xdr:row>86</xdr:row>
      <xdr:rowOff>115505</xdr:rowOff>
    </xdr:from>
    <xdr:to>
      <xdr:col>24</xdr:col>
      <xdr:colOff>531393</xdr:colOff>
      <xdr:row>109</xdr:row>
      <xdr:rowOff>8106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E0ACB1-D9BF-4BEE-896F-8064CCE89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23</xdr:col>
      <xdr:colOff>594360</xdr:colOff>
      <xdr:row>21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D73413-FF3D-498D-9194-0FDC104A3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22</xdr:row>
      <xdr:rowOff>22860</xdr:rowOff>
    </xdr:from>
    <xdr:to>
      <xdr:col>23</xdr:col>
      <xdr:colOff>601980</xdr:colOff>
      <xdr:row>43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24C383-FA29-4308-9BFC-D7F495927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</xdr:colOff>
      <xdr:row>44</xdr:row>
      <xdr:rowOff>22860</xdr:rowOff>
    </xdr:from>
    <xdr:to>
      <xdr:col>24</xdr:col>
      <xdr:colOff>0</xdr:colOff>
      <xdr:row>65</xdr:row>
      <xdr:rowOff>144780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DA962F-3B59-47AA-AD83-F3BE1FFDB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</xdr:colOff>
      <xdr:row>65</xdr:row>
      <xdr:rowOff>175260</xdr:rowOff>
    </xdr:from>
    <xdr:to>
      <xdr:col>23</xdr:col>
      <xdr:colOff>594360</xdr:colOff>
      <xdr:row>88</xdr:row>
      <xdr:rowOff>30480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308539-C9A5-4BFC-96FF-DFA951FD0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</xdr:colOff>
      <xdr:row>88</xdr:row>
      <xdr:rowOff>68580</xdr:rowOff>
    </xdr:from>
    <xdr:to>
      <xdr:col>23</xdr:col>
      <xdr:colOff>594360</xdr:colOff>
      <xdr:row>109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75A6A53-CECF-4570-B773-225B0C0CB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548640</xdr:colOff>
      <xdr:row>21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5B770F-C78F-4618-8FAA-8A1286B15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21</xdr:row>
      <xdr:rowOff>38100</xdr:rowOff>
    </xdr:from>
    <xdr:to>
      <xdr:col>24</xdr:col>
      <xdr:colOff>15240</xdr:colOff>
      <xdr:row>41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3BCD18-3C81-465B-A72A-3869E9875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594360</xdr:colOff>
      <xdr:row>1</xdr:row>
      <xdr:rowOff>15240</xdr:rowOff>
    </xdr:from>
    <xdr:to>
      <xdr:col>24</xdr:col>
      <xdr:colOff>15240</xdr:colOff>
      <xdr:row>21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0F6D57-59C1-4EE8-9C62-9DC4919D9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22860</xdr:colOff>
      <xdr:row>41</xdr:row>
      <xdr:rowOff>68580</xdr:rowOff>
    </xdr:from>
    <xdr:to>
      <xdr:col>12</xdr:col>
      <xdr:colOff>579120</xdr:colOff>
      <xdr:row>64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AD5633-3B13-4DDC-8F0C-EDEE5CCC6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7620</xdr:colOff>
      <xdr:row>41</xdr:row>
      <xdr:rowOff>76200</xdr:rowOff>
    </xdr:from>
    <xdr:to>
      <xdr:col>24</xdr:col>
      <xdr:colOff>182880</xdr:colOff>
      <xdr:row>64</xdr:row>
      <xdr:rowOff>7620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8A33052-A559-4EB7-9D3C-CE4EA2082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7620</xdr:colOff>
      <xdr:row>64</xdr:row>
      <xdr:rowOff>45720</xdr:rowOff>
    </xdr:from>
    <xdr:to>
      <xdr:col>12</xdr:col>
      <xdr:colOff>594360</xdr:colOff>
      <xdr:row>90</xdr:row>
      <xdr:rowOff>83820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99BBEF5-B854-4F56-851E-DC3825164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64</xdr:row>
      <xdr:rowOff>53340</xdr:rowOff>
    </xdr:from>
    <xdr:to>
      <xdr:col>24</xdr:col>
      <xdr:colOff>167640</xdr:colOff>
      <xdr:row>90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238225F-C8A8-4FAC-B8CF-59D5E0A7B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601980</xdr:colOff>
      <xdr:row>5</xdr:row>
      <xdr:rowOff>7620</xdr:rowOff>
    </xdr:from>
    <xdr:to>
      <xdr:col>17</xdr:col>
      <xdr:colOff>0</xdr:colOff>
      <xdr:row>20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3810</xdr:rowOff>
    </xdr:from>
    <xdr:to>
      <xdr:col>9</xdr:col>
      <xdr:colOff>22860</xdr:colOff>
      <xdr:row>30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3810</xdr:rowOff>
    </xdr:from>
    <xdr:to>
      <xdr:col>20</xdr:col>
      <xdr:colOff>0</xdr:colOff>
      <xdr:row>30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220245</xdr:colOff>
      <xdr:row>20</xdr:row>
      <xdr:rowOff>6620</xdr:rowOff>
    </xdr:from>
    <xdr:to>
      <xdr:col>23</xdr:col>
      <xdr:colOff>815473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222250</xdr:colOff>
      <xdr:row>5</xdr:row>
      <xdr:rowOff>0</xdr:rowOff>
    </xdr:from>
    <xdr:to>
      <xdr:col>23</xdr:col>
      <xdr:colOff>812800</xdr:colOff>
      <xdr:row>17</xdr:row>
      <xdr:rowOff>294105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23</xdr:row>
      <xdr:rowOff>1906</xdr:rowOff>
    </xdr:from>
    <xdr:to>
      <xdr:col>13</xdr:col>
      <xdr:colOff>30480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121920</xdr:colOff>
      <xdr:row>92</xdr:row>
      <xdr:rowOff>80010</xdr:rowOff>
    </xdr:from>
    <xdr:to>
      <xdr:col>11</xdr:col>
      <xdr:colOff>236220</xdr:colOff>
      <xdr:row>107</xdr:row>
      <xdr:rowOff>80010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106680</xdr:colOff>
      <xdr:row>44</xdr:row>
      <xdr:rowOff>53340</xdr:rowOff>
    </xdr:from>
    <xdr:to>
      <xdr:col>12</xdr:col>
      <xdr:colOff>58287</xdr:colOff>
      <xdr:row>66</xdr:row>
      <xdr:rowOff>65548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102870</xdr:rowOff>
    </xdr:from>
    <xdr:to>
      <xdr:col>15</xdr:col>
      <xdr:colOff>7620</xdr:colOff>
      <xdr:row>29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43</xdr:row>
      <xdr:rowOff>316230</xdr:rowOff>
    </xdr:from>
    <xdr:to>
      <xdr:col>8</xdr:col>
      <xdr:colOff>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1089660</xdr:colOff>
      <xdr:row>43</xdr:row>
      <xdr:rowOff>308610</xdr:rowOff>
    </xdr:from>
    <xdr:to>
      <xdr:col>15</xdr:col>
      <xdr:colOff>274320</xdr:colOff>
      <xdr:row>63</xdr:row>
      <xdr:rowOff>15240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160020</xdr:colOff>
      <xdr:row>62</xdr:row>
      <xdr:rowOff>163830</xdr:rowOff>
    </xdr:from>
    <xdr:to>
      <xdr:col>15</xdr:col>
      <xdr:colOff>281940</xdr:colOff>
      <xdr:row>77</xdr:row>
      <xdr:rowOff>163830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472440</xdr:colOff>
      <xdr:row>3</xdr:row>
      <xdr:rowOff>53340</xdr:rowOff>
    </xdr:from>
    <xdr:to>
      <xdr:col>11</xdr:col>
      <xdr:colOff>670560</xdr:colOff>
      <xdr:row>12</xdr:row>
      <xdr:rowOff>220980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91440</xdr:colOff>
      <xdr:row>4</xdr:row>
      <xdr:rowOff>68580</xdr:rowOff>
    </xdr:from>
    <xdr:to>
      <xdr:col>4</xdr:col>
      <xdr:colOff>488726</xdr:colOff>
      <xdr:row>12</xdr:row>
      <xdr:rowOff>83820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472440</xdr:colOff>
      <xdr:row>7</xdr:row>
      <xdr:rowOff>30480</xdr:rowOff>
    </xdr:from>
    <xdr:ext cx="1516380" cy="530658"/>
    <xdr:sp macro="" textlink="TimeData!P5">
      <xdr:nvSpPr>
        <xdr:cNvPr id="4" name="CaixaDeTexto 4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 txBox="1"/>
      </xdr:nvSpPr>
      <xdr:spPr>
        <a:xfrm>
          <a:off x="594360" y="1623060"/>
          <a:ext cx="151638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111634CF-465E-473D-89A6-9B77C1258CAF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97.1%</a:t>
          </a:fld>
          <a:endParaRPr lang="fr-CA" sz="2800" b="0"/>
        </a:p>
      </xdr:txBody>
    </xdr:sp>
    <xdr:clientData/>
  </xdr:oneCellAnchor>
  <xdr:twoCellAnchor>
    <xdr:from>
      <xdr:col>4</xdr:col>
      <xdr:colOff>457200</xdr:colOff>
      <xdr:row>14</xdr:row>
      <xdr:rowOff>53340</xdr:rowOff>
    </xdr:from>
    <xdr:to>
      <xdr:col>11</xdr:col>
      <xdr:colOff>670560</xdr:colOff>
      <xdr:row>23</xdr:row>
      <xdr:rowOff>220980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91440</xdr:colOff>
      <xdr:row>15</xdr:row>
      <xdr:rowOff>68580</xdr:rowOff>
    </xdr:from>
    <xdr:to>
      <xdr:col>4</xdr:col>
      <xdr:colOff>488726</xdr:colOff>
      <xdr:row>23</xdr:row>
      <xdr:rowOff>83820</xdr:rowOff>
    </xdr:to>
    <xdr:graphicFrame macro="">
      <xdr:nvGraphicFramePr>
        <xdr:cNvPr id="6" name="Gráfico 6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441960</xdr:colOff>
      <xdr:row>18</xdr:row>
      <xdr:rowOff>0</xdr:rowOff>
    </xdr:from>
    <xdr:ext cx="1524000" cy="530658"/>
    <xdr:sp macro="" textlink="TimeData!P11">
      <xdr:nvSpPr>
        <xdr:cNvPr id="7" name="CaixaDeTexto 7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 txBox="1"/>
      </xdr:nvSpPr>
      <xdr:spPr>
        <a:xfrm>
          <a:off x="563880" y="43662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0EFF5A92-6150-4641-824C-DD8696C95D78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93.9%</a:t>
          </a:fld>
          <a:endParaRPr lang="fr-CA" sz="2800" b="0"/>
        </a:p>
      </xdr:txBody>
    </xdr:sp>
    <xdr:clientData/>
  </xdr:oneCellAnchor>
  <xdr:twoCellAnchor>
    <xdr:from>
      <xdr:col>16</xdr:col>
      <xdr:colOff>495300</xdr:colOff>
      <xdr:row>3</xdr:row>
      <xdr:rowOff>53340</xdr:rowOff>
    </xdr:from>
    <xdr:to>
      <xdr:col>23</xdr:col>
      <xdr:colOff>662940</xdr:colOff>
      <xdr:row>12</xdr:row>
      <xdr:rowOff>220980</xdr:rowOff>
    </xdr:to>
    <xdr:graphicFrame macro="">
      <xdr:nvGraphicFramePr>
        <xdr:cNvPr id="8" name="Gráfico 8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91440</xdr:colOff>
      <xdr:row>4</xdr:row>
      <xdr:rowOff>68580</xdr:rowOff>
    </xdr:from>
    <xdr:to>
      <xdr:col>16</xdr:col>
      <xdr:colOff>488726</xdr:colOff>
      <xdr:row>12</xdr:row>
      <xdr:rowOff>83820</xdr:rowOff>
    </xdr:to>
    <xdr:graphicFrame macro="">
      <xdr:nvGraphicFramePr>
        <xdr:cNvPr id="9" name="Gráfico 9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13</xdr:col>
      <xdr:colOff>396240</xdr:colOff>
      <xdr:row>7</xdr:row>
      <xdr:rowOff>0</xdr:rowOff>
    </xdr:from>
    <xdr:ext cx="1569720" cy="530658"/>
    <xdr:sp macro="" textlink="TimeData!P8">
      <xdr:nvSpPr>
        <xdr:cNvPr id="10" name="CaixaDeTexto 10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 txBox="1"/>
      </xdr:nvSpPr>
      <xdr:spPr>
        <a:xfrm>
          <a:off x="7490460" y="1592580"/>
          <a:ext cx="15697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AD00BC9-D633-42E1-B43C-C6BE88982D43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98.1%</a:t>
          </a:fld>
          <a:endParaRPr lang="fr-CA" sz="2800" b="0"/>
        </a:p>
      </xdr:txBody>
    </xdr:sp>
    <xdr:clientData/>
  </xdr:oneCellAnchor>
  <xdr:twoCellAnchor>
    <xdr:from>
      <xdr:col>16</xdr:col>
      <xdr:colOff>457200</xdr:colOff>
      <xdr:row>14</xdr:row>
      <xdr:rowOff>53340</xdr:rowOff>
    </xdr:from>
    <xdr:to>
      <xdr:col>23</xdr:col>
      <xdr:colOff>685800</xdr:colOff>
      <xdr:row>23</xdr:row>
      <xdr:rowOff>220980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91440</xdr:colOff>
      <xdr:row>15</xdr:row>
      <xdr:rowOff>68580</xdr:rowOff>
    </xdr:from>
    <xdr:to>
      <xdr:col>16</xdr:col>
      <xdr:colOff>488726</xdr:colOff>
      <xdr:row>23</xdr:row>
      <xdr:rowOff>83820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13</xdr:col>
      <xdr:colOff>441960</xdr:colOff>
      <xdr:row>18</xdr:row>
      <xdr:rowOff>45720</xdr:rowOff>
    </xdr:from>
    <xdr:ext cx="1531620" cy="530658"/>
    <xdr:sp macro="" textlink="TimeData!P14">
      <xdr:nvSpPr>
        <xdr:cNvPr id="13" name="CaixaDeTexto 13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 txBox="1"/>
      </xdr:nvSpPr>
      <xdr:spPr>
        <a:xfrm>
          <a:off x="7536180" y="441198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B3DFBA9D-7221-4144-86D6-3770360B5339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94.3%</a:t>
          </a:fld>
          <a:endParaRPr lang="fr-CA" sz="2800" b="0"/>
        </a:p>
      </xdr:txBody>
    </xdr:sp>
    <xdr:clientData/>
  </xdr:oneCellAnchor>
  <xdr:twoCellAnchor>
    <xdr:from>
      <xdr:col>5</xdr:col>
      <xdr:colOff>45720</xdr:colOff>
      <xdr:row>25</xdr:row>
      <xdr:rowOff>53340</xdr:rowOff>
    </xdr:from>
    <xdr:to>
      <xdr:col>11</xdr:col>
      <xdr:colOff>571500</xdr:colOff>
      <xdr:row>34</xdr:row>
      <xdr:rowOff>220980</xdr:rowOff>
    </xdr:to>
    <xdr:graphicFrame macro="">
      <xdr:nvGraphicFramePr>
        <xdr:cNvPr id="14" name="Gráfico 5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91440</xdr:colOff>
      <xdr:row>26</xdr:row>
      <xdr:rowOff>68580</xdr:rowOff>
    </xdr:from>
    <xdr:to>
      <xdr:col>4</xdr:col>
      <xdr:colOff>488726</xdr:colOff>
      <xdr:row>34</xdr:row>
      <xdr:rowOff>83820</xdr:rowOff>
    </xdr:to>
    <xdr:graphicFrame macro="">
      <xdr:nvGraphicFramePr>
        <xdr:cNvPr id="15" name="Gráfico 6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</xdr:col>
      <xdr:colOff>441960</xdr:colOff>
      <xdr:row>29</xdr:row>
      <xdr:rowOff>0</xdr:rowOff>
    </xdr:from>
    <xdr:ext cx="1524000" cy="530658"/>
    <xdr:sp macro="" textlink="TimeData!P17">
      <xdr:nvSpPr>
        <xdr:cNvPr id="16" name="CaixaDeTexto 7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 txBox="1"/>
      </xdr:nvSpPr>
      <xdr:spPr>
        <a:xfrm>
          <a:off x="563880" y="72999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C3C28BB5-0173-4B13-AEFC-30DE6C9CC4E4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98.9%</a:t>
          </a:fld>
          <a:endParaRPr lang="fr-CA" sz="2800" b="0"/>
        </a:p>
      </xdr:txBody>
    </xdr:sp>
    <xdr:clientData/>
  </xdr:oneCellAnchor>
  <xdr:twoCellAnchor>
    <xdr:from>
      <xdr:col>17</xdr:col>
      <xdr:colOff>45720</xdr:colOff>
      <xdr:row>25</xdr:row>
      <xdr:rowOff>53340</xdr:rowOff>
    </xdr:from>
    <xdr:to>
      <xdr:col>23</xdr:col>
      <xdr:colOff>571500</xdr:colOff>
      <xdr:row>34</xdr:row>
      <xdr:rowOff>220980</xdr:rowOff>
    </xdr:to>
    <xdr:graphicFrame macro="">
      <xdr:nvGraphicFramePr>
        <xdr:cNvPr id="17" name="Gráfico 11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91440</xdr:colOff>
      <xdr:row>26</xdr:row>
      <xdr:rowOff>68580</xdr:rowOff>
    </xdr:from>
    <xdr:to>
      <xdr:col>16</xdr:col>
      <xdr:colOff>488726</xdr:colOff>
      <xdr:row>34</xdr:row>
      <xdr:rowOff>83820</xdr:rowOff>
    </xdr:to>
    <xdr:graphicFrame macro="">
      <xdr:nvGraphicFramePr>
        <xdr:cNvPr id="18" name="Gráfico 12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13</xdr:col>
      <xdr:colOff>441960</xdr:colOff>
      <xdr:row>29</xdr:row>
      <xdr:rowOff>45720</xdr:rowOff>
    </xdr:from>
    <xdr:ext cx="1531620" cy="530658"/>
    <xdr:sp macro="" textlink="TimeData!P20">
      <xdr:nvSpPr>
        <xdr:cNvPr id="19" name="CaixaDeTexto 13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 txBox="1"/>
      </xdr:nvSpPr>
      <xdr:spPr>
        <a:xfrm>
          <a:off x="7536180" y="728472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85598F7-2DA9-4344-887A-87D8D498C8D5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96.9%</a:t>
          </a:fld>
          <a:endParaRPr lang="fr-CA" sz="28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66</xdr:row>
      <xdr:rowOff>80010</xdr:rowOff>
    </xdr:from>
    <xdr:to>
      <xdr:col>9</xdr:col>
      <xdr:colOff>15240</xdr:colOff>
      <xdr:row>81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66</xdr:row>
      <xdr:rowOff>110490</xdr:rowOff>
    </xdr:from>
    <xdr:to>
      <xdr:col>22</xdr:col>
      <xdr:colOff>15240</xdr:colOff>
      <xdr:row>81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15875</xdr:colOff>
      <xdr:row>99</xdr:row>
      <xdr:rowOff>116681</xdr:rowOff>
    </xdr:from>
    <xdr:to>
      <xdr:col>21</xdr:col>
      <xdr:colOff>650875</xdr:colOff>
      <xdr:row>128</xdr:row>
      <xdr:rowOff>15875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158748</xdr:colOff>
      <xdr:row>99</xdr:row>
      <xdr:rowOff>100804</xdr:rowOff>
    </xdr:from>
    <xdr:to>
      <xdr:col>9</xdr:col>
      <xdr:colOff>23812</xdr:colOff>
      <xdr:row>128</xdr:row>
      <xdr:rowOff>23813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793282</xdr:colOff>
      <xdr:row>63</xdr:row>
      <xdr:rowOff>124126</xdr:rowOff>
    </xdr:from>
    <xdr:to>
      <xdr:col>22</xdr:col>
      <xdr:colOff>570297</xdr:colOff>
      <xdr:row>87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6AD96C-F19E-4130-B315-5AED79416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784861</xdr:colOff>
      <xdr:row>41</xdr:row>
      <xdr:rowOff>43915</xdr:rowOff>
    </xdr:from>
    <xdr:to>
      <xdr:col>22</xdr:col>
      <xdr:colOff>553453</xdr:colOff>
      <xdr:row>62</xdr:row>
      <xdr:rowOff>152399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3D659B-93EA-4841-98F7-05E56F201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184484</xdr:colOff>
      <xdr:row>41</xdr:row>
      <xdr:rowOff>24064</xdr:rowOff>
    </xdr:from>
    <xdr:to>
      <xdr:col>16</xdr:col>
      <xdr:colOff>649703</xdr:colOff>
      <xdr:row>62</xdr:row>
      <xdr:rowOff>144379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9E2DD5D-FB3B-468C-84B0-B555E3B80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23261</xdr:colOff>
      <xdr:row>63</xdr:row>
      <xdr:rowOff>132147</xdr:rowOff>
    </xdr:from>
    <xdr:to>
      <xdr:col>21</xdr:col>
      <xdr:colOff>602381</xdr:colOff>
      <xdr:row>87</xdr:row>
      <xdr:rowOff>30881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A6D153-F213-4EDF-B875-88AAE3774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14839</xdr:colOff>
      <xdr:row>41</xdr:row>
      <xdr:rowOff>43915</xdr:rowOff>
    </xdr:from>
    <xdr:to>
      <xdr:col>21</xdr:col>
      <xdr:colOff>585536</xdr:colOff>
      <xdr:row>62</xdr:row>
      <xdr:rowOff>136357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EA7829-153C-4994-859A-F958D5A66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176464</xdr:colOff>
      <xdr:row>41</xdr:row>
      <xdr:rowOff>24064</xdr:rowOff>
    </xdr:from>
    <xdr:to>
      <xdr:col>15</xdr:col>
      <xdr:colOff>641683</xdr:colOff>
      <xdr:row>62</xdr:row>
      <xdr:rowOff>144379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8EB294-B31B-4533-8E24-2FC390654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721093</xdr:colOff>
      <xdr:row>63</xdr:row>
      <xdr:rowOff>100062</xdr:rowOff>
    </xdr:from>
    <xdr:to>
      <xdr:col>21</xdr:col>
      <xdr:colOff>498108</xdr:colOff>
      <xdr:row>86</xdr:row>
      <xdr:rowOff>183280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68F36E-4B45-4DD9-9402-13F05F732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720692</xdr:colOff>
      <xdr:row>41</xdr:row>
      <xdr:rowOff>51936</xdr:rowOff>
    </xdr:from>
    <xdr:to>
      <xdr:col>21</xdr:col>
      <xdr:colOff>489284</xdr:colOff>
      <xdr:row>62</xdr:row>
      <xdr:rowOff>144378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86EF7F2-8E14-4B2A-A30E-59BAFA20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176464</xdr:colOff>
      <xdr:row>41</xdr:row>
      <xdr:rowOff>40106</xdr:rowOff>
    </xdr:from>
    <xdr:to>
      <xdr:col>15</xdr:col>
      <xdr:colOff>641683</xdr:colOff>
      <xdr:row>62</xdr:row>
      <xdr:rowOff>160421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A4CE3E-0E77-49D8-966F-D39DA28E6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793282</xdr:colOff>
      <xdr:row>63</xdr:row>
      <xdr:rowOff>132147</xdr:rowOff>
    </xdr:from>
    <xdr:to>
      <xdr:col>21</xdr:col>
      <xdr:colOff>570297</xdr:colOff>
      <xdr:row>87</xdr:row>
      <xdr:rowOff>30881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BD0695-6B33-492B-80D9-076445988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784860</xdr:colOff>
      <xdr:row>41</xdr:row>
      <xdr:rowOff>27874</xdr:rowOff>
    </xdr:from>
    <xdr:to>
      <xdr:col>21</xdr:col>
      <xdr:colOff>553452</xdr:colOff>
      <xdr:row>62</xdr:row>
      <xdr:rowOff>144379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BF4168F-7DCA-43CF-8AB9-7EF91E00F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128338</xdr:colOff>
      <xdr:row>41</xdr:row>
      <xdr:rowOff>24062</xdr:rowOff>
    </xdr:from>
    <xdr:to>
      <xdr:col>15</xdr:col>
      <xdr:colOff>593557</xdr:colOff>
      <xdr:row>62</xdr:row>
      <xdr:rowOff>176462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DE7A5AF-9C87-416F-9BC7-6AE41E03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D21203-E486-4586-AFC9-6F592D61DFCC}" name="Table132" displayName="Table132" ref="C5:K21" totalsRowShown="0" headerRowDxfId="18" dataDxfId="16" headerRowBorderDxfId="17" tableBorderDxfId="15" totalsRowBorderDxfId="14">
  <autoFilter ref="C5:K21" xr:uid="{EBD21203-E486-4586-AFC9-6F592D61DFCC}"/>
  <tableColumns count="9">
    <tableColumn id="1" xr3:uid="{8D2D7101-D3FE-421B-87F9-C86C66773D49}" name="Service" dataDxfId="13"/>
    <tableColumn id="3" xr3:uid="{F55B9943-3B62-49D3-BB11-14993B0D270B}" name="Actual" dataDxfId="12"/>
    <tableColumn id="4" xr3:uid="{37E28A73-E2A0-4B9E-8787-FFF5B4E95B08}" name="Target" dataDxfId="11"/>
    <tableColumn id="6" xr3:uid="{234C9C82-D518-4D19-A7F8-EDB9AB63E9C9}" name="% Of Costs" dataDxfId="10">
      <calculatedColumnFormula>D6/E6</calculatedColumnFormula>
    </tableColumn>
    <tableColumn id="5" xr3:uid="{AC96A10F-40BF-4DA2-A0A3-46BA470C2E6E}" name="Variance" dataDxfId="9">
      <calculatedColumnFormula>IF(ISBLANK(D6-E6),"",(D6-E6))</calculatedColumnFormula>
    </tableColumn>
    <tableColumn id="2" xr3:uid="{7B3113D1-1BEE-4F14-857C-3D27E19F9EA9}" name="Average" dataDxfId="8"/>
    <tableColumn id="7" xr3:uid="{57424F22-F241-4C83-B318-02C72B2E4298}" name="Totals" dataDxfId="7"/>
    <tableColumn id="8" xr3:uid="{96BBA01E-6EAC-433D-9785-566FBAF9FC5E}" name="Overuns" dataDxfId="6"/>
    <tableColumn id="9" xr3:uid="{0E2464E4-875E-430F-91F2-506267071B3A}" name="Totals2" dataDxfId="5">
      <calculatedColumnFormula>SUM(Table132[[#This Row],[Totals]:[Overuns]])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7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78D9-1C2F-472A-B966-86CF9CD37F68}">
  <sheetPr codeName="Sheet2"/>
  <dimension ref="B2:W63"/>
  <sheetViews>
    <sheetView showGridLines="0" zoomScale="95" zoomScaleNormal="95" workbookViewId="0">
      <selection activeCell="N69" sqref="N69"/>
    </sheetView>
  </sheetViews>
  <sheetFormatPr defaultRowHeight="14.4" x14ac:dyDescent="0.3"/>
  <cols>
    <col min="1" max="1" width="1.77734375" customWidth="1"/>
    <col min="2" max="2" width="20" customWidth="1"/>
    <col min="3" max="3" width="8.21875" customWidth="1"/>
    <col min="4" max="4" width="6.88671875" customWidth="1"/>
    <col min="5" max="5" width="12.44140625" customWidth="1"/>
    <col min="6" max="6" width="14.8867187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244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49"/>
      <c r="C4" s="149"/>
      <c r="D4" s="149"/>
      <c r="E4" s="149"/>
      <c r="F4" s="216">
        <v>2024</v>
      </c>
      <c r="G4" s="216">
        <v>2024</v>
      </c>
      <c r="H4" s="216">
        <v>2024</v>
      </c>
      <c r="I4" s="216">
        <v>2024</v>
      </c>
      <c r="J4" s="216">
        <v>2024</v>
      </c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/>
      <c r="S4" s="216"/>
      <c r="T4" s="216"/>
      <c r="U4" s="154"/>
      <c r="V4" s="154"/>
      <c r="W4" s="149"/>
    </row>
    <row r="5" spans="2:23" ht="15" customHeight="1" x14ac:dyDescent="0.3">
      <c r="B5" s="324" t="s">
        <v>0</v>
      </c>
      <c r="C5" s="166"/>
      <c r="D5" s="166"/>
      <c r="E5" s="166"/>
      <c r="F5" s="325" t="s">
        <v>32</v>
      </c>
      <c r="G5" s="325" t="s">
        <v>33</v>
      </c>
      <c r="H5" s="325" t="s">
        <v>34</v>
      </c>
      <c r="I5" s="325" t="s">
        <v>35</v>
      </c>
      <c r="J5" s="325" t="s">
        <v>36</v>
      </c>
      <c r="K5" s="325" t="s">
        <v>37</v>
      </c>
      <c r="L5" s="325" t="s">
        <v>38</v>
      </c>
      <c r="M5" s="325" t="s">
        <v>39</v>
      </c>
      <c r="N5" s="325" t="s">
        <v>40</v>
      </c>
      <c r="O5" s="325" t="s">
        <v>41</v>
      </c>
      <c r="P5" s="325" t="s">
        <v>42</v>
      </c>
      <c r="Q5" s="325" t="s">
        <v>43</v>
      </c>
      <c r="R5" s="166"/>
      <c r="S5" s="166"/>
      <c r="T5" s="166"/>
      <c r="U5" s="166"/>
      <c r="V5" s="166"/>
      <c r="W5" s="166"/>
    </row>
    <row r="6" spans="2:23" ht="15" customHeight="1" x14ac:dyDescent="0.3">
      <c r="B6" s="25"/>
      <c r="C6" s="329"/>
      <c r="D6" s="329"/>
      <c r="E6" s="329"/>
      <c r="F6" s="384" t="s">
        <v>243</v>
      </c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29"/>
      <c r="S6" s="329"/>
      <c r="T6" s="329"/>
      <c r="U6" s="329"/>
      <c r="V6" s="329"/>
    </row>
    <row r="7" spans="2:23" ht="14.4" customHeight="1" x14ac:dyDescent="0.3">
      <c r="B7" s="4" t="s">
        <v>259</v>
      </c>
      <c r="F7" s="220">
        <v>4000</v>
      </c>
      <c r="G7" s="220">
        <v>4100</v>
      </c>
      <c r="H7" s="220">
        <v>4200</v>
      </c>
      <c r="I7" s="220">
        <v>4300</v>
      </c>
      <c r="J7" s="220">
        <v>4650</v>
      </c>
      <c r="K7" s="220">
        <v>4850</v>
      </c>
      <c r="L7" s="220">
        <v>5000</v>
      </c>
      <c r="M7" s="220">
        <v>5250</v>
      </c>
      <c r="N7" s="220">
        <v>5500</v>
      </c>
      <c r="O7" s="220">
        <v>6000</v>
      </c>
      <c r="P7" s="220">
        <v>6250</v>
      </c>
      <c r="Q7" s="220">
        <v>7000</v>
      </c>
    </row>
    <row r="8" spans="2:23" x14ac:dyDescent="0.3">
      <c r="B8" s="4" t="s">
        <v>227</v>
      </c>
      <c r="F8" s="328">
        <v>3</v>
      </c>
      <c r="G8" s="328">
        <v>3</v>
      </c>
      <c r="H8" s="328">
        <v>3</v>
      </c>
      <c r="I8" s="328">
        <v>3</v>
      </c>
      <c r="J8" s="328">
        <v>3</v>
      </c>
      <c r="K8" s="328">
        <v>3</v>
      </c>
      <c r="L8" s="328">
        <v>3</v>
      </c>
      <c r="M8" s="328">
        <v>3</v>
      </c>
      <c r="N8" s="328">
        <v>3</v>
      </c>
      <c r="O8" s="328">
        <v>3</v>
      </c>
      <c r="P8" s="328">
        <v>3</v>
      </c>
      <c r="Q8" s="328">
        <v>3</v>
      </c>
    </row>
    <row r="9" spans="2:23" x14ac:dyDescent="0.3">
      <c r="B9" s="4" t="s">
        <v>230</v>
      </c>
      <c r="F9" s="318">
        <f t="shared" ref="F9:Q9" si="0">F7/F8</f>
        <v>1333.3333333333333</v>
      </c>
      <c r="G9" s="318">
        <f t="shared" si="0"/>
        <v>1366.6666666666667</v>
      </c>
      <c r="H9" s="318">
        <f t="shared" si="0"/>
        <v>1400</v>
      </c>
      <c r="I9" s="318">
        <f t="shared" si="0"/>
        <v>1433.3333333333333</v>
      </c>
      <c r="J9" s="318">
        <f t="shared" si="0"/>
        <v>1550</v>
      </c>
      <c r="K9" s="318">
        <f t="shared" si="0"/>
        <v>1616.6666666666667</v>
      </c>
      <c r="L9" s="318">
        <f t="shared" si="0"/>
        <v>1666.6666666666667</v>
      </c>
      <c r="M9" s="318">
        <f t="shared" si="0"/>
        <v>1750</v>
      </c>
      <c r="N9" s="318">
        <f t="shared" si="0"/>
        <v>1833.3333333333333</v>
      </c>
      <c r="O9" s="318">
        <f t="shared" si="0"/>
        <v>2000</v>
      </c>
      <c r="P9" s="318">
        <f t="shared" si="0"/>
        <v>2083.3333333333335</v>
      </c>
      <c r="Q9" s="318">
        <f t="shared" si="0"/>
        <v>2333.3333333333335</v>
      </c>
    </row>
    <row r="10" spans="2:23" x14ac:dyDescent="0.3">
      <c r="B10" s="4" t="s">
        <v>239</v>
      </c>
      <c r="F10" s="321">
        <v>800</v>
      </c>
      <c r="G10" s="321">
        <v>825</v>
      </c>
      <c r="H10" s="321">
        <v>866</v>
      </c>
      <c r="I10" s="321">
        <v>900</v>
      </c>
      <c r="J10" s="321">
        <v>920</v>
      </c>
      <c r="K10" s="321">
        <v>970</v>
      </c>
      <c r="L10" s="321">
        <v>980</v>
      </c>
      <c r="M10" s="321">
        <v>1000</v>
      </c>
      <c r="N10" s="321">
        <v>1025</v>
      </c>
      <c r="O10" s="321">
        <v>1050</v>
      </c>
      <c r="P10" s="321">
        <v>1050</v>
      </c>
      <c r="Q10" s="321">
        <v>1050</v>
      </c>
    </row>
    <row r="11" spans="2:23" x14ac:dyDescent="0.3">
      <c r="B11" s="4" t="s">
        <v>240</v>
      </c>
      <c r="F11" s="326">
        <v>0.8</v>
      </c>
      <c r="G11" s="326">
        <v>0.8</v>
      </c>
      <c r="H11" s="326">
        <v>0.8</v>
      </c>
      <c r="I11" s="326">
        <v>0.8</v>
      </c>
      <c r="J11" s="326">
        <v>0.8</v>
      </c>
      <c r="K11" s="326">
        <v>0.8</v>
      </c>
      <c r="L11" s="326">
        <v>0.8</v>
      </c>
      <c r="M11" s="326">
        <v>0.8</v>
      </c>
      <c r="N11" s="326">
        <v>0.8</v>
      </c>
      <c r="O11" s="326">
        <v>0.8</v>
      </c>
      <c r="P11" s="326">
        <v>0.8</v>
      </c>
      <c r="Q11" s="326">
        <v>0.8</v>
      </c>
    </row>
    <row r="12" spans="2:23" x14ac:dyDescent="0.3">
      <c r="B12" s="4" t="s">
        <v>241</v>
      </c>
      <c r="F12" s="327">
        <f t="shared" ref="F12:Q12" si="1">F10*F11</f>
        <v>640</v>
      </c>
      <c r="G12" s="327">
        <f t="shared" si="1"/>
        <v>660</v>
      </c>
      <c r="H12" s="327">
        <f t="shared" si="1"/>
        <v>692.80000000000007</v>
      </c>
      <c r="I12" s="327">
        <f t="shared" si="1"/>
        <v>720</v>
      </c>
      <c r="J12" s="327">
        <f t="shared" si="1"/>
        <v>736</v>
      </c>
      <c r="K12" s="327">
        <f t="shared" si="1"/>
        <v>776</v>
      </c>
      <c r="L12" s="327">
        <f t="shared" si="1"/>
        <v>784</v>
      </c>
      <c r="M12" s="327">
        <f t="shared" si="1"/>
        <v>800</v>
      </c>
      <c r="N12" s="327">
        <f t="shared" si="1"/>
        <v>820</v>
      </c>
      <c r="O12" s="327">
        <f t="shared" si="1"/>
        <v>840</v>
      </c>
      <c r="P12" s="327">
        <f t="shared" si="1"/>
        <v>840</v>
      </c>
      <c r="Q12" s="327">
        <f t="shared" si="1"/>
        <v>840</v>
      </c>
    </row>
    <row r="13" spans="2:23" x14ac:dyDescent="0.3">
      <c r="B13" s="4" t="s">
        <v>228</v>
      </c>
      <c r="F13" s="321">
        <v>7500</v>
      </c>
      <c r="G13" s="321">
        <v>7500</v>
      </c>
      <c r="H13" s="321">
        <v>7500</v>
      </c>
      <c r="I13" s="321">
        <v>7500</v>
      </c>
      <c r="J13" s="321">
        <v>7500</v>
      </c>
      <c r="K13" s="321">
        <v>7500</v>
      </c>
      <c r="L13" s="321">
        <v>7500</v>
      </c>
      <c r="M13" s="321">
        <v>7500</v>
      </c>
      <c r="N13" s="321">
        <v>7500</v>
      </c>
      <c r="O13" s="321">
        <v>7500</v>
      </c>
      <c r="P13" s="321">
        <v>7500</v>
      </c>
      <c r="Q13" s="321">
        <v>7500</v>
      </c>
    </row>
    <row r="14" spans="2:23" x14ac:dyDescent="0.3">
      <c r="B14" s="4" t="s">
        <v>231</v>
      </c>
      <c r="F14" s="322">
        <v>600</v>
      </c>
      <c r="G14" s="322">
        <v>600</v>
      </c>
      <c r="H14" s="322">
        <v>600</v>
      </c>
      <c r="I14" s="322">
        <v>600</v>
      </c>
      <c r="J14" s="322">
        <v>600</v>
      </c>
      <c r="K14" s="322">
        <v>600</v>
      </c>
      <c r="L14" s="322">
        <v>600</v>
      </c>
      <c r="M14" s="322">
        <v>600</v>
      </c>
      <c r="N14" s="322">
        <v>600</v>
      </c>
      <c r="O14" s="322">
        <v>600</v>
      </c>
      <c r="P14" s="322">
        <v>600</v>
      </c>
      <c r="Q14" s="322">
        <v>600</v>
      </c>
    </row>
    <row r="15" spans="2:23" x14ac:dyDescent="0.3">
      <c r="B15" s="4" t="s">
        <v>311</v>
      </c>
      <c r="F15" s="319">
        <f t="shared" ref="F15:Q15" si="2">F9+F12+F14</f>
        <v>2573.333333333333</v>
      </c>
      <c r="G15" s="319">
        <f t="shared" si="2"/>
        <v>2626.666666666667</v>
      </c>
      <c r="H15" s="319">
        <f t="shared" si="2"/>
        <v>2692.8</v>
      </c>
      <c r="I15" s="319">
        <f t="shared" si="2"/>
        <v>2753.333333333333</v>
      </c>
      <c r="J15" s="319">
        <f t="shared" si="2"/>
        <v>2886</v>
      </c>
      <c r="K15" s="319">
        <f t="shared" si="2"/>
        <v>2992.666666666667</v>
      </c>
      <c r="L15" s="319">
        <f t="shared" si="2"/>
        <v>3050.666666666667</v>
      </c>
      <c r="M15" s="319">
        <f t="shared" si="2"/>
        <v>3150</v>
      </c>
      <c r="N15" s="319">
        <f t="shared" si="2"/>
        <v>3253.333333333333</v>
      </c>
      <c r="O15" s="319">
        <f t="shared" si="2"/>
        <v>3440</v>
      </c>
      <c r="P15" s="319">
        <f t="shared" si="2"/>
        <v>3523.3333333333335</v>
      </c>
      <c r="Q15" s="319">
        <f t="shared" si="2"/>
        <v>3773.3333333333335</v>
      </c>
    </row>
    <row r="16" spans="2:23" x14ac:dyDescent="0.3">
      <c r="B16" s="25"/>
      <c r="C16" s="329"/>
      <c r="D16" s="329"/>
      <c r="E16" s="329"/>
      <c r="F16" s="385" t="s">
        <v>232</v>
      </c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29"/>
      <c r="S16" s="329"/>
      <c r="T16" s="329"/>
      <c r="U16" s="329"/>
      <c r="V16" s="329"/>
    </row>
    <row r="17" spans="2:22" x14ac:dyDescent="0.3">
      <c r="B17" s="4" t="s">
        <v>233</v>
      </c>
      <c r="F17" s="323">
        <v>0.61</v>
      </c>
      <c r="G17" s="323">
        <v>0.61</v>
      </c>
      <c r="H17" s="323">
        <v>0.61</v>
      </c>
      <c r="I17" s="323">
        <v>0.61</v>
      </c>
      <c r="J17" s="323">
        <v>0.61</v>
      </c>
      <c r="K17" s="323">
        <v>0.61</v>
      </c>
      <c r="L17" s="323">
        <v>0.61</v>
      </c>
      <c r="M17" s="323">
        <v>0.61</v>
      </c>
      <c r="N17" s="323">
        <v>0.61</v>
      </c>
      <c r="O17" s="323">
        <v>0.61</v>
      </c>
      <c r="P17" s="323">
        <v>0.61</v>
      </c>
      <c r="Q17" s="323">
        <v>0.61</v>
      </c>
    </row>
    <row r="18" spans="2:22" x14ac:dyDescent="0.3">
      <c r="B18" s="4" t="s">
        <v>234</v>
      </c>
      <c r="F18" s="220">
        <f t="shared" ref="F18:Q18" si="3">F15*F17</f>
        <v>1569.7333333333331</v>
      </c>
      <c r="G18" s="220">
        <f t="shared" si="3"/>
        <v>1602.2666666666669</v>
      </c>
      <c r="H18" s="220">
        <f t="shared" si="3"/>
        <v>1642.6080000000002</v>
      </c>
      <c r="I18" s="220">
        <f t="shared" si="3"/>
        <v>1679.5333333333331</v>
      </c>
      <c r="J18" s="220">
        <f t="shared" si="3"/>
        <v>1760.46</v>
      </c>
      <c r="K18" s="220">
        <f t="shared" si="3"/>
        <v>1825.5266666666669</v>
      </c>
      <c r="L18" s="220">
        <f t="shared" si="3"/>
        <v>1860.9066666666668</v>
      </c>
      <c r="M18" s="220">
        <f t="shared" si="3"/>
        <v>1921.5</v>
      </c>
      <c r="N18" s="220">
        <f t="shared" si="3"/>
        <v>1984.5333333333331</v>
      </c>
      <c r="O18" s="220">
        <f t="shared" si="3"/>
        <v>2098.4</v>
      </c>
      <c r="P18" s="220">
        <f t="shared" si="3"/>
        <v>2149.2333333333336</v>
      </c>
      <c r="Q18" s="220">
        <f t="shared" si="3"/>
        <v>2301.7333333333336</v>
      </c>
    </row>
    <row r="19" spans="2:22" x14ac:dyDescent="0.3">
      <c r="B19" s="4" t="s">
        <v>236</v>
      </c>
      <c r="F19" s="323">
        <v>0.1</v>
      </c>
      <c r="G19" s="323">
        <v>0.1</v>
      </c>
      <c r="H19" s="323">
        <v>0.1</v>
      </c>
      <c r="I19" s="323">
        <v>0.1</v>
      </c>
      <c r="J19" s="323">
        <v>0.1</v>
      </c>
      <c r="K19" s="323">
        <v>0.1</v>
      </c>
      <c r="L19" s="323">
        <v>0.1</v>
      </c>
      <c r="M19" s="323">
        <v>0.1</v>
      </c>
      <c r="N19" s="323">
        <v>0.1</v>
      </c>
      <c r="O19" s="323">
        <v>0.1</v>
      </c>
      <c r="P19" s="323">
        <v>0.1</v>
      </c>
      <c r="Q19" s="323">
        <v>0.1</v>
      </c>
    </row>
    <row r="20" spans="2:22" x14ac:dyDescent="0.3">
      <c r="B20" s="4" t="s">
        <v>237</v>
      </c>
      <c r="F20" s="220">
        <f t="shared" ref="F20:Q20" si="4">F18*F19</f>
        <v>156.97333333333333</v>
      </c>
      <c r="G20" s="220">
        <f t="shared" si="4"/>
        <v>160.22666666666669</v>
      </c>
      <c r="H20" s="220">
        <f t="shared" si="4"/>
        <v>164.26080000000002</v>
      </c>
      <c r="I20" s="220">
        <f t="shared" si="4"/>
        <v>167.95333333333332</v>
      </c>
      <c r="J20" s="220">
        <f t="shared" si="4"/>
        <v>176.04600000000002</v>
      </c>
      <c r="K20" s="220">
        <f t="shared" si="4"/>
        <v>182.55266666666671</v>
      </c>
      <c r="L20" s="220">
        <f t="shared" si="4"/>
        <v>186.09066666666669</v>
      </c>
      <c r="M20" s="220">
        <f t="shared" si="4"/>
        <v>192.15</v>
      </c>
      <c r="N20" s="220">
        <f t="shared" si="4"/>
        <v>198.45333333333332</v>
      </c>
      <c r="O20" s="220">
        <f t="shared" si="4"/>
        <v>209.84000000000003</v>
      </c>
      <c r="P20" s="220">
        <f t="shared" si="4"/>
        <v>214.92333333333337</v>
      </c>
      <c r="Q20" s="220">
        <f t="shared" si="4"/>
        <v>230.17333333333337</v>
      </c>
    </row>
    <row r="21" spans="2:22" x14ac:dyDescent="0.3">
      <c r="B21" s="4" t="s">
        <v>238</v>
      </c>
      <c r="F21" s="323">
        <f t="shared" ref="F21:Q21" si="5">1-F19</f>
        <v>0.9</v>
      </c>
      <c r="G21" s="323">
        <f t="shared" si="5"/>
        <v>0.9</v>
      </c>
      <c r="H21" s="323">
        <f t="shared" si="5"/>
        <v>0.9</v>
      </c>
      <c r="I21" s="323">
        <f t="shared" si="5"/>
        <v>0.9</v>
      </c>
      <c r="J21" s="323">
        <f t="shared" si="5"/>
        <v>0.9</v>
      </c>
      <c r="K21" s="323">
        <f t="shared" si="5"/>
        <v>0.9</v>
      </c>
      <c r="L21" s="323">
        <f t="shared" si="5"/>
        <v>0.9</v>
      </c>
      <c r="M21" s="323">
        <f t="shared" si="5"/>
        <v>0.9</v>
      </c>
      <c r="N21" s="323">
        <f t="shared" si="5"/>
        <v>0.9</v>
      </c>
      <c r="O21" s="323">
        <f t="shared" si="5"/>
        <v>0.9</v>
      </c>
      <c r="P21" s="323">
        <f t="shared" si="5"/>
        <v>0.9</v>
      </c>
      <c r="Q21" s="323">
        <f t="shared" si="5"/>
        <v>0.9</v>
      </c>
    </row>
    <row r="22" spans="2:22" x14ac:dyDescent="0.3">
      <c r="B22" s="4" t="s">
        <v>312</v>
      </c>
      <c r="F22" s="220">
        <f>F18*F21</f>
        <v>1412.7599999999998</v>
      </c>
      <c r="G22" s="220">
        <f t="shared" ref="G22:Q22" si="6">G18*G21</f>
        <v>1442.0400000000002</v>
      </c>
      <c r="H22" s="220">
        <f t="shared" si="6"/>
        <v>1478.3472000000002</v>
      </c>
      <c r="I22" s="220">
        <f t="shared" si="6"/>
        <v>1511.5799999999997</v>
      </c>
      <c r="J22" s="220">
        <f t="shared" si="6"/>
        <v>1584.414</v>
      </c>
      <c r="K22" s="220">
        <f t="shared" si="6"/>
        <v>1642.9740000000002</v>
      </c>
      <c r="L22" s="220">
        <f t="shared" si="6"/>
        <v>1674.816</v>
      </c>
      <c r="M22" s="220">
        <f t="shared" si="6"/>
        <v>1729.3500000000001</v>
      </c>
      <c r="N22" s="220">
        <f t="shared" si="6"/>
        <v>1786.0799999999997</v>
      </c>
      <c r="O22" s="220">
        <f t="shared" si="6"/>
        <v>1888.5600000000002</v>
      </c>
      <c r="P22" s="220">
        <f t="shared" si="6"/>
        <v>1934.3100000000002</v>
      </c>
      <c r="Q22" s="220">
        <f t="shared" si="6"/>
        <v>2071.5600000000004</v>
      </c>
    </row>
    <row r="23" spans="2:22" x14ac:dyDescent="0.3">
      <c r="B23" s="4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</row>
    <row r="24" spans="2:22" ht="15" customHeight="1" x14ac:dyDescent="0.3">
      <c r="B24" s="25"/>
      <c r="C24" s="329"/>
      <c r="D24" s="329"/>
      <c r="E24" s="329"/>
      <c r="F24" s="386" t="s">
        <v>282</v>
      </c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29"/>
      <c r="S24" s="329"/>
      <c r="T24" s="329"/>
      <c r="U24" s="329"/>
      <c r="V24" s="329"/>
    </row>
    <row r="25" spans="2:22" x14ac:dyDescent="0.3">
      <c r="B25" s="344" t="s">
        <v>337</v>
      </c>
      <c r="C25" s="342" t="s">
        <v>260</v>
      </c>
      <c r="D25" s="9">
        <v>135</v>
      </c>
      <c r="F25" s="323">
        <f>F26/F22</f>
        <v>0.15855488547240865</v>
      </c>
      <c r="G25" s="323">
        <f>G26/G22</f>
        <v>0.15533549693489776</v>
      </c>
      <c r="H25" s="323">
        <f>H26/H22</f>
        <v>0.15152056296382879</v>
      </c>
      <c r="I25" s="323">
        <f t="shared" ref="I25:Q25" si="7">I26/I22</f>
        <v>0.14818931184588313</v>
      </c>
      <c r="J25" s="323">
        <f t="shared" si="7"/>
        <v>0.16094278389360356</v>
      </c>
      <c r="K25" s="323">
        <f t="shared" si="7"/>
        <v>0.16859670329536558</v>
      </c>
      <c r="L25" s="323">
        <f t="shared" si="7"/>
        <v>9.1950399327448501E-2</v>
      </c>
      <c r="M25" s="323">
        <f t="shared" si="7"/>
        <v>8.9050799433313094E-2</v>
      </c>
      <c r="N25" s="323">
        <f t="shared" si="7"/>
        <v>8.6222341664427146E-2</v>
      </c>
      <c r="O25" s="323">
        <f t="shared" si="7"/>
        <v>0.14667259711102637</v>
      </c>
      <c r="P25" s="323">
        <f t="shared" si="7"/>
        <v>0.14837332175297649</v>
      </c>
      <c r="Q25" s="323">
        <f t="shared" si="7"/>
        <v>9.6545598486164994E-2</v>
      </c>
    </row>
    <row r="26" spans="2:22" x14ac:dyDescent="0.3">
      <c r="B26" s="344"/>
      <c r="C26" s="342"/>
      <c r="E26" s="342" t="s">
        <v>307</v>
      </c>
      <c r="F26" s="330">
        <v>224</v>
      </c>
      <c r="G26" s="330">
        <v>224</v>
      </c>
      <c r="H26" s="330">
        <v>224</v>
      </c>
      <c r="I26" s="330">
        <v>224</v>
      </c>
      <c r="J26" s="330">
        <v>255</v>
      </c>
      <c r="K26" s="330">
        <v>277</v>
      </c>
      <c r="L26" s="330">
        <v>154</v>
      </c>
      <c r="M26" s="330">
        <v>154</v>
      </c>
      <c r="N26" s="330">
        <v>154</v>
      </c>
      <c r="O26" s="330">
        <v>277</v>
      </c>
      <c r="P26" s="330">
        <v>287</v>
      </c>
      <c r="Q26" s="330">
        <v>200</v>
      </c>
    </row>
    <row r="27" spans="2:22" x14ac:dyDescent="0.3">
      <c r="B27" s="344"/>
      <c r="C27" s="342"/>
      <c r="D27" s="354"/>
      <c r="E27" s="353" t="s">
        <v>306</v>
      </c>
      <c r="F27" s="320">
        <f t="shared" ref="F27:Q27" si="8">IF($B25&gt;" ", F26*$D25," ")</f>
        <v>30240</v>
      </c>
      <c r="G27" s="320">
        <f t="shared" si="8"/>
        <v>30240</v>
      </c>
      <c r="H27" s="320">
        <f t="shared" si="8"/>
        <v>30240</v>
      </c>
      <c r="I27" s="320">
        <f t="shared" si="8"/>
        <v>30240</v>
      </c>
      <c r="J27" s="320">
        <f t="shared" si="8"/>
        <v>34425</v>
      </c>
      <c r="K27" s="320">
        <f t="shared" si="8"/>
        <v>37395</v>
      </c>
      <c r="L27" s="320">
        <f t="shared" si="8"/>
        <v>20790</v>
      </c>
      <c r="M27" s="320">
        <f t="shared" si="8"/>
        <v>20790</v>
      </c>
      <c r="N27" s="320">
        <f t="shared" si="8"/>
        <v>20790</v>
      </c>
      <c r="O27" s="320">
        <f t="shared" si="8"/>
        <v>37395</v>
      </c>
      <c r="P27" s="320">
        <f t="shared" si="8"/>
        <v>38745</v>
      </c>
      <c r="Q27" s="320">
        <f t="shared" si="8"/>
        <v>27000</v>
      </c>
    </row>
    <row r="28" spans="2:22" x14ac:dyDescent="0.3">
      <c r="B28" s="344" t="s">
        <v>338</v>
      </c>
      <c r="C28" s="342" t="s">
        <v>260</v>
      </c>
      <c r="D28" s="9">
        <v>90</v>
      </c>
      <c r="E28" s="342"/>
      <c r="F28" s="337">
        <f>F29/F22</f>
        <v>7.8569608426059645E-2</v>
      </c>
      <c r="G28" s="337">
        <f t="shared" ref="G28:Q28" si="9">G29/G22</f>
        <v>8.5295830906216188E-2</v>
      </c>
      <c r="H28" s="337">
        <f t="shared" si="9"/>
        <v>7.5083850397254445E-2</v>
      </c>
      <c r="I28" s="337">
        <f t="shared" si="9"/>
        <v>7.5417774778708382E-2</v>
      </c>
      <c r="J28" s="337">
        <f t="shared" si="9"/>
        <v>6.879515076236388E-2</v>
      </c>
      <c r="K28" s="337">
        <f t="shared" si="9"/>
        <v>6.7560411789839639E-2</v>
      </c>
      <c r="L28" s="337">
        <f t="shared" si="9"/>
        <v>6.6275937177576516E-2</v>
      </c>
      <c r="M28" s="337">
        <f t="shared" si="9"/>
        <v>6.0138202214704943E-2</v>
      </c>
      <c r="N28" s="337">
        <f t="shared" si="9"/>
        <v>5.9907730896712363E-2</v>
      </c>
      <c r="O28" s="337">
        <f t="shared" si="9"/>
        <v>5.983394755792773E-2</v>
      </c>
      <c r="P28" s="337">
        <f t="shared" si="9"/>
        <v>5.9969704959391197E-2</v>
      </c>
      <c r="Q28" s="337">
        <f t="shared" si="9"/>
        <v>5.9858271061422295E-2</v>
      </c>
    </row>
    <row r="29" spans="2:22" x14ac:dyDescent="0.3">
      <c r="B29" s="344"/>
      <c r="C29" s="342"/>
      <c r="E29" s="342" t="s">
        <v>307</v>
      </c>
      <c r="F29" s="330">
        <v>111</v>
      </c>
      <c r="G29" s="330">
        <v>123</v>
      </c>
      <c r="H29" s="330">
        <v>111</v>
      </c>
      <c r="I29" s="330">
        <v>114</v>
      </c>
      <c r="J29" s="330">
        <v>109</v>
      </c>
      <c r="K29" s="330">
        <v>111</v>
      </c>
      <c r="L29" s="330">
        <v>111</v>
      </c>
      <c r="M29" s="330">
        <v>104</v>
      </c>
      <c r="N29" s="330">
        <v>107</v>
      </c>
      <c r="O29" s="330">
        <v>113</v>
      </c>
      <c r="P29" s="330">
        <v>116</v>
      </c>
      <c r="Q29" s="330">
        <v>124</v>
      </c>
    </row>
    <row r="30" spans="2:22" x14ac:dyDescent="0.3">
      <c r="B30" s="344"/>
      <c r="C30" s="342"/>
      <c r="D30" s="354"/>
      <c r="E30" s="353" t="s">
        <v>307</v>
      </c>
      <c r="F30" s="320">
        <f t="shared" ref="F30:Q30" si="10">IF($B28&gt;" ", F29*$D28," ")</f>
        <v>9990</v>
      </c>
      <c r="G30" s="320">
        <f t="shared" si="10"/>
        <v>11070</v>
      </c>
      <c r="H30" s="320">
        <f t="shared" si="10"/>
        <v>9990</v>
      </c>
      <c r="I30" s="320">
        <f t="shared" si="10"/>
        <v>10260</v>
      </c>
      <c r="J30" s="320">
        <f t="shared" si="10"/>
        <v>9810</v>
      </c>
      <c r="K30" s="320">
        <f t="shared" si="10"/>
        <v>9990</v>
      </c>
      <c r="L30" s="320">
        <f t="shared" si="10"/>
        <v>9990</v>
      </c>
      <c r="M30" s="320">
        <f t="shared" si="10"/>
        <v>9360</v>
      </c>
      <c r="N30" s="320">
        <f t="shared" si="10"/>
        <v>9630</v>
      </c>
      <c r="O30" s="320">
        <f t="shared" si="10"/>
        <v>10170</v>
      </c>
      <c r="P30" s="320">
        <f t="shared" si="10"/>
        <v>10440</v>
      </c>
      <c r="Q30" s="320">
        <f t="shared" si="10"/>
        <v>11160</v>
      </c>
    </row>
    <row r="31" spans="2:22" x14ac:dyDescent="0.3">
      <c r="B31" s="344" t="s">
        <v>339</v>
      </c>
      <c r="C31" s="342" t="s">
        <v>260</v>
      </c>
      <c r="D31" s="9">
        <v>110</v>
      </c>
      <c r="E31" s="342"/>
      <c r="F31" s="337">
        <f>F32/F22</f>
        <v>0.12033183272459584</v>
      </c>
      <c r="G31" s="337">
        <f t="shared" ref="G31:Q31" si="11">G32/G22</f>
        <v>0.119968932900613</v>
      </c>
      <c r="H31" s="337">
        <f t="shared" si="11"/>
        <v>0.11972830198481113</v>
      </c>
      <c r="I31" s="337">
        <f t="shared" si="11"/>
        <v>0.11974225644689665</v>
      </c>
      <c r="J31" s="337">
        <f t="shared" si="11"/>
        <v>0.11991815270503796</v>
      </c>
      <c r="K31" s="337">
        <f t="shared" si="11"/>
        <v>0.11990451461800368</v>
      </c>
      <c r="L31" s="337">
        <f t="shared" si="11"/>
        <v>0.1200131835377737</v>
      </c>
      <c r="M31" s="337">
        <f t="shared" si="11"/>
        <v>0.12027640442940989</v>
      </c>
      <c r="N31" s="337">
        <f t="shared" si="11"/>
        <v>0.11981546179342473</v>
      </c>
      <c r="O31" s="337">
        <f t="shared" si="11"/>
        <v>0.12019739907654509</v>
      </c>
      <c r="P31" s="337">
        <f t="shared" si="11"/>
        <v>0.11993940991878239</v>
      </c>
      <c r="Q31" s="337">
        <f t="shared" si="11"/>
        <v>0.12019927011527543</v>
      </c>
    </row>
    <row r="32" spans="2:22" x14ac:dyDescent="0.3">
      <c r="B32" s="344"/>
      <c r="C32" s="342"/>
      <c r="E32" s="342" t="s">
        <v>307</v>
      </c>
      <c r="F32" s="330">
        <v>170</v>
      </c>
      <c r="G32" s="330">
        <v>173</v>
      </c>
      <c r="H32" s="330">
        <v>177</v>
      </c>
      <c r="I32" s="330">
        <v>181</v>
      </c>
      <c r="J32" s="330">
        <v>190</v>
      </c>
      <c r="K32" s="330">
        <v>197</v>
      </c>
      <c r="L32" s="330">
        <v>201</v>
      </c>
      <c r="M32" s="330">
        <v>208</v>
      </c>
      <c r="N32" s="330">
        <v>214</v>
      </c>
      <c r="O32" s="330">
        <v>227</v>
      </c>
      <c r="P32" s="330">
        <v>232</v>
      </c>
      <c r="Q32" s="330">
        <v>249</v>
      </c>
    </row>
    <row r="33" spans="2:23" x14ac:dyDescent="0.3">
      <c r="B33" s="344"/>
      <c r="C33" s="342"/>
      <c r="D33" s="354"/>
      <c r="E33" s="353" t="s">
        <v>306</v>
      </c>
      <c r="F33" s="320">
        <f t="shared" ref="F33:Q33" si="12">IF($B31&gt;" ", F32*$D31," ")</f>
        <v>18700</v>
      </c>
      <c r="G33" s="320">
        <f t="shared" si="12"/>
        <v>19030</v>
      </c>
      <c r="H33" s="320">
        <f t="shared" si="12"/>
        <v>19470</v>
      </c>
      <c r="I33" s="320">
        <f t="shared" si="12"/>
        <v>19910</v>
      </c>
      <c r="J33" s="320">
        <f t="shared" si="12"/>
        <v>20900</v>
      </c>
      <c r="K33" s="320">
        <f t="shared" si="12"/>
        <v>21670</v>
      </c>
      <c r="L33" s="320">
        <f t="shared" si="12"/>
        <v>22110</v>
      </c>
      <c r="M33" s="320">
        <f t="shared" si="12"/>
        <v>22880</v>
      </c>
      <c r="N33" s="320">
        <f t="shared" si="12"/>
        <v>23540</v>
      </c>
      <c r="O33" s="320">
        <f t="shared" si="12"/>
        <v>24970</v>
      </c>
      <c r="P33" s="320">
        <f t="shared" si="12"/>
        <v>25520</v>
      </c>
      <c r="Q33" s="320">
        <f t="shared" si="12"/>
        <v>27390</v>
      </c>
    </row>
    <row r="34" spans="2:23" x14ac:dyDescent="0.3">
      <c r="B34" s="344" t="s">
        <v>340</v>
      </c>
      <c r="C34" s="342" t="s">
        <v>260</v>
      </c>
      <c r="D34" s="9">
        <v>250</v>
      </c>
      <c r="E34" s="342"/>
      <c r="F34" s="337">
        <f>F35/F22</f>
        <v>0.22650697924629806</v>
      </c>
      <c r="G34" s="337">
        <f t="shared" ref="G34:Q34" si="13">G35/G22</f>
        <v>0.23577709356189838</v>
      </c>
      <c r="H34" s="337">
        <f t="shared" si="13"/>
        <v>0.27057243386397994</v>
      </c>
      <c r="I34" s="337">
        <f t="shared" si="13"/>
        <v>0.27256248428796365</v>
      </c>
      <c r="J34" s="337">
        <f t="shared" si="13"/>
        <v>0.25940189874616104</v>
      </c>
      <c r="K34" s="337">
        <f t="shared" si="13"/>
        <v>0.25076477168841377</v>
      </c>
      <c r="L34" s="337">
        <f t="shared" si="13"/>
        <v>0.25913294355917305</v>
      </c>
      <c r="M34" s="337">
        <f t="shared" si="13"/>
        <v>0.252117847746263</v>
      </c>
      <c r="N34" s="337">
        <f t="shared" si="13"/>
        <v>0.25194840096748189</v>
      </c>
      <c r="O34" s="337">
        <f t="shared" si="13"/>
        <v>0.25416190113102044</v>
      </c>
      <c r="P34" s="337">
        <f t="shared" si="13"/>
        <v>0.25745614715324844</v>
      </c>
      <c r="Q34" s="337">
        <f t="shared" si="13"/>
        <v>0.24136399621541249</v>
      </c>
    </row>
    <row r="35" spans="2:23" ht="13.2" customHeight="1" x14ac:dyDescent="0.3">
      <c r="B35" s="344"/>
      <c r="C35" s="342"/>
      <c r="E35" s="342" t="s">
        <v>307</v>
      </c>
      <c r="F35" s="330">
        <v>320</v>
      </c>
      <c r="G35" s="330">
        <v>340</v>
      </c>
      <c r="H35" s="330">
        <v>400</v>
      </c>
      <c r="I35" s="330">
        <v>412</v>
      </c>
      <c r="J35" s="330">
        <v>411</v>
      </c>
      <c r="K35" s="330">
        <v>412</v>
      </c>
      <c r="L35" s="330">
        <v>434</v>
      </c>
      <c r="M35" s="330">
        <v>436</v>
      </c>
      <c r="N35" s="330">
        <v>450</v>
      </c>
      <c r="O35" s="330">
        <v>480</v>
      </c>
      <c r="P35" s="330">
        <v>498</v>
      </c>
      <c r="Q35" s="330">
        <v>500</v>
      </c>
    </row>
    <row r="36" spans="2:23" ht="13.2" customHeight="1" x14ac:dyDescent="0.3">
      <c r="B36" s="344"/>
      <c r="C36" s="342"/>
      <c r="D36" s="354"/>
      <c r="E36" s="353" t="s">
        <v>306</v>
      </c>
      <c r="F36" s="220">
        <f t="shared" ref="F36:Q36" si="14">IF($B34&gt;" ", F35*$D34," ")</f>
        <v>80000</v>
      </c>
      <c r="G36" s="220">
        <f t="shared" si="14"/>
        <v>85000</v>
      </c>
      <c r="H36" s="220">
        <f t="shared" si="14"/>
        <v>100000</v>
      </c>
      <c r="I36" s="220">
        <f t="shared" si="14"/>
        <v>103000</v>
      </c>
      <c r="J36" s="220">
        <f t="shared" si="14"/>
        <v>102750</v>
      </c>
      <c r="K36" s="220">
        <f t="shared" si="14"/>
        <v>103000</v>
      </c>
      <c r="L36" s="220">
        <f t="shared" si="14"/>
        <v>108500</v>
      </c>
      <c r="M36" s="220">
        <f t="shared" si="14"/>
        <v>109000</v>
      </c>
      <c r="N36" s="220">
        <f t="shared" si="14"/>
        <v>112500</v>
      </c>
      <c r="O36" s="220">
        <f t="shared" si="14"/>
        <v>120000</v>
      </c>
      <c r="P36" s="220">
        <f t="shared" si="14"/>
        <v>124500</v>
      </c>
      <c r="Q36" s="220">
        <f t="shared" si="14"/>
        <v>125000</v>
      </c>
    </row>
    <row r="37" spans="2:23" x14ac:dyDescent="0.3">
      <c r="B37" s="344" t="s">
        <v>341</v>
      </c>
      <c r="C37" s="342" t="s">
        <v>260</v>
      </c>
      <c r="D37" s="9">
        <v>325</v>
      </c>
      <c r="E37" s="342"/>
      <c r="F37" s="337">
        <f>F38/F22</f>
        <v>0.41620657436507269</v>
      </c>
      <c r="G37" s="337">
        <f t="shared" ref="G37:Q37" si="15">G38/G22</f>
        <v>0.42370530637152914</v>
      </c>
      <c r="H37" s="337">
        <f t="shared" si="15"/>
        <v>0.42074013465848886</v>
      </c>
      <c r="I37" s="337">
        <f t="shared" si="15"/>
        <v>0.41942867727807998</v>
      </c>
      <c r="J37" s="337">
        <f t="shared" si="15"/>
        <v>0.38626268134464858</v>
      </c>
      <c r="K37" s="337">
        <f t="shared" si="15"/>
        <v>0.41205764668217509</v>
      </c>
      <c r="L37" s="337">
        <f t="shared" si="15"/>
        <v>0.3851169322480798</v>
      </c>
      <c r="M37" s="337">
        <f t="shared" si="15"/>
        <v>0.40651111689363051</v>
      </c>
      <c r="N37" s="337">
        <f t="shared" si="15"/>
        <v>0.39751858819313812</v>
      </c>
      <c r="O37" s="337">
        <f t="shared" si="15"/>
        <v>0.40560003388825344</v>
      </c>
      <c r="P37" s="337">
        <f t="shared" si="15"/>
        <v>0.39652382503321593</v>
      </c>
      <c r="Q37" s="337">
        <f t="shared" si="15"/>
        <v>0.38521693795979833</v>
      </c>
    </row>
    <row r="38" spans="2:23" x14ac:dyDescent="0.3">
      <c r="B38" s="4"/>
      <c r="E38" s="342" t="s">
        <v>307</v>
      </c>
      <c r="F38" s="330">
        <v>588</v>
      </c>
      <c r="G38" s="330">
        <v>611</v>
      </c>
      <c r="H38" s="330">
        <v>622</v>
      </c>
      <c r="I38" s="330">
        <v>634</v>
      </c>
      <c r="J38" s="330">
        <v>612</v>
      </c>
      <c r="K38" s="330">
        <v>677</v>
      </c>
      <c r="L38" s="330">
        <v>645</v>
      </c>
      <c r="M38" s="330">
        <v>703</v>
      </c>
      <c r="N38" s="330">
        <v>710</v>
      </c>
      <c r="O38" s="330">
        <v>766</v>
      </c>
      <c r="P38" s="330">
        <v>767</v>
      </c>
      <c r="Q38" s="330">
        <v>798</v>
      </c>
    </row>
    <row r="39" spans="2:23" x14ac:dyDescent="0.3">
      <c r="B39" s="4"/>
      <c r="D39" s="354"/>
      <c r="E39" s="353" t="s">
        <v>306</v>
      </c>
      <c r="F39" s="320">
        <f>IF($B37&gt;" ", F38*$D37," ")</f>
        <v>191100</v>
      </c>
      <c r="G39" s="320">
        <v>285111</v>
      </c>
      <c r="H39" s="320">
        <f>IF($B37&gt;" ", H38*$D37," ")</f>
        <v>202150</v>
      </c>
      <c r="I39" s="320">
        <v>287640</v>
      </c>
      <c r="J39" s="320">
        <f t="shared" ref="J39:Q39" si="16">IF($B37&gt;" ", J38*$D37," ")</f>
        <v>198900</v>
      </c>
      <c r="K39" s="320">
        <f t="shared" si="16"/>
        <v>220025</v>
      </c>
      <c r="L39" s="320">
        <f t="shared" si="16"/>
        <v>209625</v>
      </c>
      <c r="M39" s="320">
        <f t="shared" si="16"/>
        <v>228475</v>
      </c>
      <c r="N39" s="320">
        <f t="shared" si="16"/>
        <v>230750</v>
      </c>
      <c r="O39" s="320">
        <f t="shared" si="16"/>
        <v>248950</v>
      </c>
      <c r="P39" s="320">
        <f t="shared" si="16"/>
        <v>249275</v>
      </c>
      <c r="Q39" s="320">
        <f t="shared" si="16"/>
        <v>259350</v>
      </c>
    </row>
    <row r="40" spans="2:23" ht="13.2" customHeight="1" x14ac:dyDescent="0.3">
      <c r="B40" s="338"/>
      <c r="C40" s="333"/>
      <c r="D40" s="333"/>
      <c r="E40" s="333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214"/>
      <c r="S40" s="214"/>
      <c r="T40" s="214"/>
      <c r="U40" s="214"/>
      <c r="V40" s="214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39"/>
      <c r="C42" s="203"/>
      <c r="D42" s="340"/>
      <c r="F42" s="339" t="s">
        <v>19</v>
      </c>
      <c r="G42" s="203"/>
      <c r="H42" s="203"/>
      <c r="I42" s="203"/>
      <c r="J42" s="340"/>
      <c r="L42" s="383" t="s">
        <v>245</v>
      </c>
      <c r="M42" s="383"/>
      <c r="N42" s="383"/>
      <c r="O42" s="383"/>
      <c r="P42" s="383"/>
      <c r="Q42" s="383"/>
      <c r="R42" s="383" t="s">
        <v>246</v>
      </c>
      <c r="S42" s="383"/>
      <c r="T42" s="383"/>
      <c r="U42" s="383"/>
      <c r="V42" s="383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13"/>
    </row>
    <row r="44" spans="2:23" x14ac:dyDescent="0.3">
      <c r="B44" s="4" t="s">
        <v>119</v>
      </c>
      <c r="D44" s="5"/>
      <c r="F44" s="18">
        <f>'IS 2024'!U17</f>
        <v>4830841</v>
      </c>
      <c r="G44" s="1">
        <f>'IS 2025'!U17</f>
        <v>6860174.7340000002</v>
      </c>
      <c r="H44" s="1">
        <f>'IS 2026'!U17</f>
        <v>7601190</v>
      </c>
      <c r="I44" s="1">
        <f>'IS 2027'!U17</f>
        <v>11288870</v>
      </c>
      <c r="J44" s="194">
        <f>'IS 2028'!U17</f>
        <v>12737175</v>
      </c>
      <c r="K44" s="1"/>
    </row>
    <row r="45" spans="2:23" x14ac:dyDescent="0.3">
      <c r="B45" s="4" t="s">
        <v>3</v>
      </c>
      <c r="D45" s="5"/>
      <c r="F45" s="18">
        <f>'IS 2024'!U18</f>
        <v>-124680</v>
      </c>
      <c r="G45" s="1">
        <f>'IS 2025'!U18</f>
        <v>-124680</v>
      </c>
      <c r="H45" s="1">
        <f>'IS 2026'!U18</f>
        <v>103320</v>
      </c>
      <c r="I45" s="1">
        <f>'IS 2027'!U18</f>
        <v>-390528</v>
      </c>
      <c r="J45" s="194">
        <f>'IS 2028'!U18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5130697</v>
      </c>
      <c r="G46" s="1">
        <f>G44-G45-G48-G49-G50</f>
        <v>7160030.7340000002</v>
      </c>
      <c r="H46" s="1">
        <f>H44-H45-H48-H49-H50</f>
        <v>8165046</v>
      </c>
      <c r="I46" s="1">
        <f>I44-I45-I48-I49-I50</f>
        <v>12652476</v>
      </c>
      <c r="J46" s="194">
        <f>J44-J45-J48-J49-J50</f>
        <v>14159781</v>
      </c>
      <c r="K46" s="1"/>
    </row>
    <row r="47" spans="2:23" x14ac:dyDescent="0.3">
      <c r="B47" s="4" t="s">
        <v>30</v>
      </c>
      <c r="D47" s="5"/>
      <c r="F47" s="195">
        <f>F46/F44</f>
        <v>1.0620711797386833</v>
      </c>
      <c r="G47" s="19">
        <f>G46/G44</f>
        <v>1.0437096738241769</v>
      </c>
      <c r="H47" s="19">
        <f>H46/H44</f>
        <v>1.0741799639267009</v>
      </c>
      <c r="I47" s="19">
        <f>I46/I44</f>
        <v>1.1207920721914593</v>
      </c>
      <c r="J47" s="196">
        <f>J46/J44</f>
        <v>1.1116892874597388</v>
      </c>
      <c r="K47" s="19"/>
    </row>
    <row r="48" spans="2:23" x14ac:dyDescent="0.3">
      <c r="B48" s="4" t="s">
        <v>5</v>
      </c>
      <c r="D48" s="5"/>
      <c r="F48" s="18">
        <f>'IS 2024'!U39</f>
        <v>-48756</v>
      </c>
      <c r="G48" s="1">
        <f>'IS 2025'!U40</f>
        <v>-48756</v>
      </c>
      <c r="H48" s="1">
        <f>'IS 2026'!U39</f>
        <v>-540756</v>
      </c>
      <c r="I48" s="1">
        <f>'IS 2027'!U38</f>
        <v>-540756</v>
      </c>
      <c r="J48" s="194">
        <f>'IS 2028'!U38</f>
        <v>-540756</v>
      </c>
      <c r="K48" s="1"/>
    </row>
    <row r="49" spans="2:11" x14ac:dyDescent="0.3">
      <c r="B49" s="4" t="s">
        <v>6</v>
      </c>
      <c r="D49" s="5"/>
      <c r="F49" s="18">
        <f>'IS 2024'!U38</f>
        <v>-27420</v>
      </c>
      <c r="G49" s="1">
        <f>'IS 2025'!U39</f>
        <v>-27420</v>
      </c>
      <c r="H49" s="1">
        <f>'IS 2026'!U38</f>
        <v>-27420</v>
      </c>
      <c r="I49" s="1">
        <f>'IS 2027'!U37</f>
        <v>-333322</v>
      </c>
      <c r="J49" s="194">
        <f>'IS 2028'!U37</f>
        <v>-333322</v>
      </c>
      <c r="K49" s="1"/>
    </row>
    <row r="50" spans="2:11" x14ac:dyDescent="0.3">
      <c r="B50" s="4" t="s">
        <v>7</v>
      </c>
      <c r="D50" s="5"/>
      <c r="F50" s="18">
        <f>'IS 2024'!U58</f>
        <v>-99000</v>
      </c>
      <c r="G50" s="1">
        <f>'IS 2025'!U59</f>
        <v>-99000</v>
      </c>
      <c r="H50" s="1">
        <f>'IS 2026'!U58</f>
        <v>-99000</v>
      </c>
      <c r="I50" s="1">
        <f>'IS 2027'!U56</f>
        <v>-99000</v>
      </c>
      <c r="J50" s="194">
        <f>'IS 2028'!U56</f>
        <v>-99000</v>
      </c>
      <c r="K50" s="1"/>
    </row>
    <row r="51" spans="2:11" x14ac:dyDescent="0.3">
      <c r="B51" s="4" t="s">
        <v>8</v>
      </c>
      <c r="D51" s="5"/>
      <c r="F51" s="18">
        <f>F60/F44*100</f>
        <v>75.841717829255813</v>
      </c>
      <c r="G51" s="1">
        <f>F60/F44*100</f>
        <v>75.841717829255813</v>
      </c>
      <c r="H51" s="1">
        <f>F60/F44*100</f>
        <v>75.841717829255813</v>
      </c>
      <c r="I51" s="1">
        <f>I60/I44*100</f>
        <v>74.168769770579345</v>
      </c>
      <c r="J51" s="194">
        <f>J60/J44*100</f>
        <v>74.461252200743104</v>
      </c>
      <c r="K51" s="1"/>
    </row>
    <row r="52" spans="2:11" x14ac:dyDescent="0.3">
      <c r="B52" s="4" t="s">
        <v>9</v>
      </c>
      <c r="D52" s="5"/>
      <c r="F52" s="195">
        <f>F60/F44</f>
        <v>0.75841717829255817</v>
      </c>
      <c r="G52" s="19">
        <f>G60/G44</f>
        <v>0.77071794702190144</v>
      </c>
      <c r="H52" s="19">
        <f>H60/H44</f>
        <v>0.79756880172709799</v>
      </c>
      <c r="I52" s="19">
        <f>I60/I44</f>
        <v>0.74168769770579346</v>
      </c>
      <c r="J52" s="196">
        <f>J60/J44</f>
        <v>0.74461252200743111</v>
      </c>
      <c r="K52" s="19"/>
    </row>
    <row r="53" spans="2:11" x14ac:dyDescent="0.3">
      <c r="B53" s="4" t="s">
        <v>10</v>
      </c>
      <c r="D53" s="5"/>
      <c r="F53" s="18">
        <f>'IS 2024'!U59</f>
        <v>4579741</v>
      </c>
      <c r="G53" s="1">
        <f>'IS 2025'!U60</f>
        <v>6609074.7340000002</v>
      </c>
      <c r="H53" s="1">
        <f>'IS 2026'!U59</f>
        <v>7578090</v>
      </c>
      <c r="I53" s="1">
        <f>'IS 2026'!U59</f>
        <v>7578090</v>
      </c>
      <c r="J53" s="194">
        <f>'IS 2028'!U57</f>
        <v>11855325</v>
      </c>
      <c r="K53" s="1"/>
    </row>
    <row r="54" spans="2:11" x14ac:dyDescent="0.3">
      <c r="B54" s="4" t="s">
        <v>22</v>
      </c>
      <c r="D54" s="5"/>
      <c r="F54" s="195">
        <f>F53/F44</f>
        <v>0.94802147286569771</v>
      </c>
      <c r="G54" s="19">
        <f>F53/F44</f>
        <v>0.94802147286569771</v>
      </c>
      <c r="H54" s="19">
        <f>F53/F44</f>
        <v>0.94802147286569771</v>
      </c>
      <c r="I54" s="19">
        <f>I53/I44</f>
        <v>0.67128862321915306</v>
      </c>
      <c r="J54" s="196">
        <f>J53/J44</f>
        <v>0.93076565250928878</v>
      </c>
      <c r="K54" s="19"/>
    </row>
    <row r="55" spans="2:11" x14ac:dyDescent="0.3">
      <c r="B55" s="4" t="s">
        <v>11</v>
      </c>
      <c r="D55" s="5"/>
      <c r="F55" s="18">
        <f>'IS 2024'!U60</f>
        <v>-20532</v>
      </c>
      <c r="G55" s="1">
        <f>'IS 2025'!U61</f>
        <v>-17800</v>
      </c>
      <c r="H55" s="1">
        <f>'IS 2026'!U60</f>
        <v>-21149</v>
      </c>
      <c r="I55" s="1">
        <f>'IS 2027'!U58</f>
        <v>-21537</v>
      </c>
      <c r="J55" s="194">
        <f>'IS 2028'!U58</f>
        <v>-21292</v>
      </c>
      <c r="K55" s="1"/>
    </row>
    <row r="56" spans="2:11" x14ac:dyDescent="0.3">
      <c r="B56" s="4" t="s">
        <v>12</v>
      </c>
      <c r="D56" s="5"/>
      <c r="F56" s="18">
        <f>'IS 2024'!U61</f>
        <v>4559209</v>
      </c>
      <c r="G56" s="1">
        <f>'IS 2025'!U62</f>
        <v>6591274.7340000002</v>
      </c>
      <c r="H56" s="1">
        <f>'IS 2026'!U61</f>
        <v>7588139</v>
      </c>
      <c r="I56" s="1">
        <f>'IS 2027'!U59</f>
        <v>10444483</v>
      </c>
      <c r="J56" s="194">
        <f>'IS 2028'!U59</f>
        <v>11834033</v>
      </c>
      <c r="K56" s="1"/>
    </row>
    <row r="57" spans="2:11" x14ac:dyDescent="0.3">
      <c r="B57" s="4" t="s">
        <v>13</v>
      </c>
      <c r="D57" s="5"/>
      <c r="F57" s="18">
        <f>'IS 2024'!U62</f>
        <v>-1098002.4000000001</v>
      </c>
      <c r="G57" s="1">
        <f>'IS 2025'!U63</f>
        <v>-613644</v>
      </c>
      <c r="H57" s="1">
        <f>'IS 2026'!U62</f>
        <v>-104689.20000000001</v>
      </c>
      <c r="I57" s="1">
        <f>'IS 2027'!U60</f>
        <v>0</v>
      </c>
      <c r="J57" s="194">
        <f>'IS 2028'!U60</f>
        <v>0</v>
      </c>
      <c r="K57" s="1"/>
    </row>
    <row r="58" spans="2:11" x14ac:dyDescent="0.3">
      <c r="B58" s="4" t="s">
        <v>14</v>
      </c>
      <c r="D58" s="5"/>
      <c r="F58" s="18">
        <f>'IS 2024'!U63</f>
        <v>4579741</v>
      </c>
      <c r="G58" s="1">
        <f>'IS 2025'!U64</f>
        <v>6609074.7340000002</v>
      </c>
      <c r="H58" s="1">
        <f>'IS 2026'!U63</f>
        <v>7578090</v>
      </c>
      <c r="I58" s="1">
        <f>'IS 2027'!U61</f>
        <v>10466020</v>
      </c>
      <c r="J58" s="194">
        <f>'IS 2028'!U61</f>
        <v>11855325</v>
      </c>
      <c r="K58" s="1"/>
    </row>
    <row r="59" spans="2:11" x14ac:dyDescent="0.3">
      <c r="B59" s="4" t="s">
        <v>15</v>
      </c>
      <c r="D59" s="5"/>
      <c r="F59" s="18">
        <f>'IS 2024'!U64</f>
        <v>-915948.2</v>
      </c>
      <c r="G59" s="1">
        <f>'IS 2025'!U65</f>
        <v>-1321814.9468</v>
      </c>
      <c r="H59" s="1">
        <f>'IS 2026'!U64</f>
        <v>-1515618</v>
      </c>
      <c r="I59" s="1">
        <f>'IS 2027'!U62</f>
        <v>-2093204.0000000005</v>
      </c>
      <c r="J59" s="194">
        <f>'IS 2028'!U62</f>
        <v>-2371065.0000000005</v>
      </c>
      <c r="K59" s="1"/>
    </row>
    <row r="60" spans="2:11" x14ac:dyDescent="0.3">
      <c r="B60" s="4" t="s">
        <v>16</v>
      </c>
      <c r="D60" s="5"/>
      <c r="F60" s="18">
        <f>'IS 2024'!U65</f>
        <v>3663792.8</v>
      </c>
      <c r="G60" s="1">
        <f>'IS 2025'!U66</f>
        <v>5287259.7871999992</v>
      </c>
      <c r="H60" s="1">
        <f>'IS 2026'!U65</f>
        <v>6062472</v>
      </c>
      <c r="I60" s="1">
        <f>'IS 2027'!U63</f>
        <v>8372816.0000000009</v>
      </c>
      <c r="J60" s="194">
        <f>'IS 2028'!U63</f>
        <v>9484260.0000000019</v>
      </c>
      <c r="K60" s="1"/>
    </row>
    <row r="61" spans="2:11" x14ac:dyDescent="0.3">
      <c r="B61" s="4" t="s">
        <v>17</v>
      </c>
      <c r="D61" s="5"/>
      <c r="F61" s="195">
        <f>F60/F44</f>
        <v>0.75841717829255817</v>
      </c>
      <c r="G61" s="19">
        <f>G60/G44</f>
        <v>0.77071794702190144</v>
      </c>
      <c r="H61" s="19">
        <f>H60/H44</f>
        <v>0.79756880172709799</v>
      </c>
      <c r="I61" s="19">
        <f>I60/I44</f>
        <v>0.74168769770579346</v>
      </c>
      <c r="J61" s="196">
        <f>J60/J44</f>
        <v>0.74461252200743111</v>
      </c>
      <c r="K61" s="19"/>
    </row>
    <row r="62" spans="2:11" x14ac:dyDescent="0.3">
      <c r="B62" s="4" t="s">
        <v>148</v>
      </c>
      <c r="D62" s="5"/>
      <c r="F62" s="18">
        <f>F60-F50-F55</f>
        <v>3783324.8</v>
      </c>
      <c r="G62" s="1">
        <f>G60-G50-G55</f>
        <v>5404059.7871999992</v>
      </c>
      <c r="H62" s="1">
        <f>H60-H50-H55</f>
        <v>6182621</v>
      </c>
      <c r="I62" s="1">
        <f>I60-I50-I55</f>
        <v>8493353</v>
      </c>
      <c r="J62" s="194">
        <f>J60-J50-J55</f>
        <v>9604552.0000000019</v>
      </c>
      <c r="K62" s="1"/>
    </row>
    <row r="63" spans="2:11" x14ac:dyDescent="0.3">
      <c r="B63" s="6" t="s">
        <v>147</v>
      </c>
      <c r="C63" s="343"/>
      <c r="D63" s="7"/>
      <c r="F63" s="197">
        <f>F62-F48-F49-F50</f>
        <v>3958500.8</v>
      </c>
      <c r="G63" s="20">
        <f>G62-G48-G49-G50</f>
        <v>5579235.7871999992</v>
      </c>
      <c r="H63" s="20">
        <f>H62-H48-H49-H50</f>
        <v>6849797</v>
      </c>
      <c r="I63" s="20">
        <f>I62-I48-I49-I50</f>
        <v>9466431</v>
      </c>
      <c r="J63" s="198">
        <f>J62-J48-J49-J50</f>
        <v>10577630.000000002</v>
      </c>
      <c r="K63" s="1"/>
    </row>
  </sheetData>
  <mergeCells count="5">
    <mergeCell ref="L42:Q42"/>
    <mergeCell ref="R42:V42"/>
    <mergeCell ref="F6:Q6"/>
    <mergeCell ref="F16:Q16"/>
    <mergeCell ref="F24:Q24"/>
  </mergeCells>
  <phoneticPr fontId="7" type="noConversion"/>
  <conditionalFormatting sqref="F40:Q40">
    <cfRule type="cellIs" dxfId="4" priority="1" operator="greaterThan">
      <formula>"&gt;1"</formula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F2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915F-497A-4FE1-ACBC-C8FD0309DFA3}">
  <sheetPr codeName="Sheet4"/>
  <dimension ref="B2:V101"/>
  <sheetViews>
    <sheetView showGridLines="0" zoomScale="95" zoomScaleNormal="95" workbookViewId="0">
      <selection activeCell="K101" sqref="K101:V101"/>
    </sheetView>
  </sheetViews>
  <sheetFormatPr defaultRowHeight="14.4" x14ac:dyDescent="0.3"/>
  <cols>
    <col min="1" max="1" width="4.5546875" customWidth="1"/>
    <col min="5" max="5" width="11.109375" customWidth="1"/>
    <col min="6" max="6" width="11.6640625" bestFit="1" customWidth="1"/>
    <col min="7" max="9" width="11.21875" customWidth="1"/>
    <col min="10" max="10" width="4.33203125" customWidth="1"/>
    <col min="11" max="11" width="10.109375" customWidth="1"/>
    <col min="12" max="14" width="10.5546875" bestFit="1" customWidth="1"/>
    <col min="15" max="15" width="10.33203125" customWidth="1"/>
    <col min="16" max="22" width="10.5546875" bestFit="1" customWidth="1"/>
  </cols>
  <sheetData>
    <row r="2" spans="2:22" x14ac:dyDescent="0.3">
      <c r="B2" s="181" t="s">
        <v>329</v>
      </c>
      <c r="C2" s="181"/>
      <c r="D2" s="181"/>
      <c r="E2" s="181"/>
      <c r="F2" s="154"/>
      <c r="G2" s="154"/>
      <c r="H2" s="154"/>
      <c r="I2" s="154"/>
      <c r="J2" s="154"/>
      <c r="K2" s="387" t="s">
        <v>251</v>
      </c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4" spans="2:22" x14ac:dyDescent="0.3">
      <c r="B4" s="199" t="s">
        <v>27</v>
      </c>
      <c r="C4" s="199"/>
      <c r="D4" s="199"/>
      <c r="E4" s="200">
        <v>2024</v>
      </c>
      <c r="F4" s="200">
        <v>2025</v>
      </c>
      <c r="G4" s="200">
        <v>2026</v>
      </c>
      <c r="H4" s="200">
        <v>2027</v>
      </c>
      <c r="I4" s="200">
        <v>2028</v>
      </c>
      <c r="J4" s="199"/>
      <c r="K4" s="200" t="s">
        <v>32</v>
      </c>
      <c r="L4" s="200" t="s">
        <v>33</v>
      </c>
      <c r="M4" s="200" t="s">
        <v>34</v>
      </c>
      <c r="N4" s="200" t="s">
        <v>35</v>
      </c>
      <c r="O4" s="200" t="s">
        <v>36</v>
      </c>
      <c r="P4" s="200" t="s">
        <v>37</v>
      </c>
      <c r="Q4" s="200" t="s">
        <v>38</v>
      </c>
      <c r="R4" s="200" t="s">
        <v>39</v>
      </c>
      <c r="S4" s="200" t="s">
        <v>40</v>
      </c>
      <c r="T4" s="200" t="s">
        <v>41</v>
      </c>
      <c r="U4" s="200" t="s">
        <v>42</v>
      </c>
      <c r="V4" s="200" t="s">
        <v>43</v>
      </c>
    </row>
    <row r="5" spans="2:22" x14ac:dyDescent="0.3">
      <c r="B5" t="s">
        <v>44</v>
      </c>
      <c r="E5" s="211">
        <f>'Statements Summary 2024'!V5</f>
        <v>449900</v>
      </c>
      <c r="F5" s="211">
        <f t="shared" ref="F5:F17" si="0">V5</f>
        <v>586218.73300000001</v>
      </c>
      <c r="G5" s="211">
        <f>'Statements Summary 2026'!V5</f>
        <v>661710</v>
      </c>
      <c r="H5" s="211">
        <f>'Statements Summary 2027'!V5</f>
        <v>994995</v>
      </c>
      <c r="I5" s="211">
        <f>'Statements Summary 2028'!V5</f>
        <v>1118310</v>
      </c>
      <c r="K5" s="211">
        <f>'CF 2025'!G11</f>
        <v>546073.22800000012</v>
      </c>
      <c r="L5" s="211">
        <f>'CF 2025'!H11</f>
        <v>553703.89199999999</v>
      </c>
      <c r="M5" s="211">
        <f>'CF 2025'!I11</f>
        <v>559369.55599999998</v>
      </c>
      <c r="N5" s="211">
        <f>'CF 2025'!J11</f>
        <v>564920.22</v>
      </c>
      <c r="O5" s="211">
        <f>'CF 2025'!K11</f>
        <v>562607.38800000004</v>
      </c>
      <c r="P5" s="211">
        <f>'CF 2025'!L11</f>
        <v>566182.17799999996</v>
      </c>
      <c r="Q5" s="211">
        <f>'CF 2025'!M11</f>
        <v>578025.46400000004</v>
      </c>
      <c r="R5" s="211">
        <f>'CF 2025'!N11</f>
        <v>575181.75799999991</v>
      </c>
      <c r="S5" s="211">
        <f>'CF 2025'!O11</f>
        <v>591486.79200000002</v>
      </c>
      <c r="T5" s="211">
        <f>'CF 2025'!P11</f>
        <v>593524.18699999992</v>
      </c>
      <c r="U5" s="211">
        <f>'CF 2025'!Q11</f>
        <v>582881.33799999999</v>
      </c>
      <c r="V5" s="211">
        <f>'CF 2025'!R11</f>
        <v>586218.73300000001</v>
      </c>
    </row>
    <row r="6" spans="2:22" x14ac:dyDescent="0.3">
      <c r="B6" t="s">
        <v>45</v>
      </c>
      <c r="E6" s="211">
        <f>'Statements Summary 2024'!V6</f>
        <v>-625</v>
      </c>
      <c r="F6" s="211">
        <f t="shared" si="0"/>
        <v>-625</v>
      </c>
      <c r="G6" s="211">
        <f>'Statements Summary 2026'!V6</f>
        <v>-625</v>
      </c>
      <c r="H6" s="211">
        <f>'Statements Summary 2027'!V6</f>
        <v>-625</v>
      </c>
      <c r="I6" s="211">
        <f>'Statements Summary 2028'!V6</f>
        <v>-625</v>
      </c>
      <c r="K6" s="211">
        <f>'CF 2025'!G18</f>
        <v>-625</v>
      </c>
      <c r="L6" s="211">
        <f>'CF 2025'!H18</f>
        <v>-625</v>
      </c>
      <c r="M6" s="211">
        <f>'CF 2025'!I18</f>
        <v>-625</v>
      </c>
      <c r="N6" s="211">
        <f>'CF 2025'!J18</f>
        <v>-625</v>
      </c>
      <c r="O6" s="211">
        <f>'CF 2025'!K18</f>
        <v>-625</v>
      </c>
      <c r="P6" s="211">
        <f>'CF 2025'!L18</f>
        <v>-625</v>
      </c>
      <c r="Q6" s="211">
        <f>'CF 2025'!M18</f>
        <v>-625</v>
      </c>
      <c r="R6" s="211">
        <f>'CF 2025'!N18</f>
        <v>-625</v>
      </c>
      <c r="S6" s="211">
        <f>'CF 2025'!O18</f>
        <v>-625</v>
      </c>
      <c r="T6" s="211">
        <f>'CF 2025'!P18</f>
        <v>-625</v>
      </c>
      <c r="U6" s="211">
        <f>'CF 2025'!Q18</f>
        <v>-625</v>
      </c>
      <c r="V6" s="211">
        <f>'CF 2025'!R18</f>
        <v>-625</v>
      </c>
    </row>
    <row r="7" spans="2:22" x14ac:dyDescent="0.3">
      <c r="B7" t="s">
        <v>46</v>
      </c>
      <c r="E7" s="211">
        <f>'Statements Summary 2024'!V7</f>
        <v>-16818</v>
      </c>
      <c r="F7" s="211">
        <f t="shared" si="0"/>
        <v>-16818</v>
      </c>
      <c r="G7" s="211">
        <f>'Statements Summary 2026'!V7</f>
        <v>0</v>
      </c>
      <c r="H7" s="211">
        <f>'Statements Summary 2027'!V7</f>
        <v>0</v>
      </c>
      <c r="I7" s="211">
        <f>'Statements Summary 2028'!V7</f>
        <v>0</v>
      </c>
      <c r="K7" s="211" t="s">
        <v>195</v>
      </c>
      <c r="L7" s="211">
        <f>'CF 2025'!H34</f>
        <v>-16818</v>
      </c>
      <c r="M7" s="211">
        <f>'CF 2025'!I34</f>
        <v>-16818</v>
      </c>
      <c r="N7" s="211">
        <f>'CF 2025'!J34</f>
        <v>-16818</v>
      </c>
      <c r="O7" s="211">
        <f>'CF 2025'!K34</f>
        <v>-16818</v>
      </c>
      <c r="P7" s="211">
        <f>'CF 2025'!L34</f>
        <v>-16818</v>
      </c>
      <c r="Q7" s="211">
        <f>'CF 2025'!M34</f>
        <v>-16818</v>
      </c>
      <c r="R7" s="211">
        <f>'CF 2025'!N34</f>
        <v>-16818</v>
      </c>
      <c r="S7" s="211">
        <f>'CF 2025'!O34</f>
        <v>-16818</v>
      </c>
      <c r="T7" s="211">
        <f>'CF 2025'!P34</f>
        <v>-16818</v>
      </c>
      <c r="U7" s="211">
        <f>'CF 2025'!Q34</f>
        <v>-16818</v>
      </c>
      <c r="V7" s="211">
        <f>'CF 2025'!R34</f>
        <v>-16818</v>
      </c>
    </row>
    <row r="8" spans="2:22" x14ac:dyDescent="0.3">
      <c r="B8" t="s">
        <v>18</v>
      </c>
      <c r="E8" s="211">
        <f>'Statements Summary 2024'!V8</f>
        <v>290479.59999999998</v>
      </c>
      <c r="F8" s="211">
        <f t="shared" si="0"/>
        <v>439897.78639999998</v>
      </c>
      <c r="G8" s="211">
        <f>'Statements Summary 2026'!V8</f>
        <v>529128</v>
      </c>
      <c r="H8" s="211">
        <f>'Statements Summary 2027'!V8</f>
        <v>807025.6</v>
      </c>
      <c r="I8" s="211">
        <f>'Statements Summary 2028'!V8</f>
        <v>906857.6</v>
      </c>
      <c r="K8" s="211">
        <f>'CF 2025'!G23</f>
        <v>370781.78240000008</v>
      </c>
      <c r="L8" s="211">
        <f>'CF 2025'!H23</f>
        <v>380249.91359999997</v>
      </c>
      <c r="M8" s="211">
        <f>'CF 2025'!I23</f>
        <v>388146.04479999997</v>
      </c>
      <c r="N8" s="211">
        <f>'CF 2025'!J23</f>
        <v>395950.17599999998</v>
      </c>
      <c r="O8" s="211">
        <f>'CF 2025'!K23</f>
        <v>397463.51040000003</v>
      </c>
      <c r="P8" s="211">
        <f>'CF 2025'!L23</f>
        <v>403686.94239999994</v>
      </c>
      <c r="Q8" s="211">
        <f>'CF 2025'!M23</f>
        <v>416525.17119999998</v>
      </c>
      <c r="R8" s="211">
        <f>'CF 2025'!N23</f>
        <v>417613.80639999988</v>
      </c>
      <c r="S8" s="211">
        <f>'CF 2025'!O23</f>
        <v>434021.43359999999</v>
      </c>
      <c r="T8" s="211">
        <f>'CF 2025'!P23</f>
        <v>439014.94959999993</v>
      </c>
      <c r="U8" s="211">
        <f>'CF 2025'!Q23</f>
        <v>433864.27039999998</v>
      </c>
      <c r="V8" s="211">
        <f>'CF 2025'!R23</f>
        <v>439897.78639999998</v>
      </c>
    </row>
    <row r="9" spans="2:22" x14ac:dyDescent="0.3">
      <c r="B9" t="s">
        <v>47</v>
      </c>
      <c r="E9" s="211" t="str">
        <f>'Statements Summary 2024'!V9</f>
        <v>-</v>
      </c>
      <c r="F9" s="211" t="str">
        <f t="shared" si="0"/>
        <v>-</v>
      </c>
      <c r="G9" s="211">
        <f>'Statements Summary 2026'!V9</f>
        <v>0</v>
      </c>
      <c r="H9" s="211">
        <f>'Statements Summary 2027'!V9</f>
        <v>0</v>
      </c>
      <c r="I9" s="211">
        <f>'Statements Summary 2028'!V9</f>
        <v>0</v>
      </c>
      <c r="K9" s="211">
        <f>'CF 2025'!G28</f>
        <v>0</v>
      </c>
      <c r="L9" s="211" t="s">
        <v>195</v>
      </c>
      <c r="M9" s="211" t="s">
        <v>195</v>
      </c>
      <c r="N9" s="211" t="s">
        <v>195</v>
      </c>
      <c r="O9" s="211" t="s">
        <v>195</v>
      </c>
      <c r="P9" s="211" t="s">
        <v>195</v>
      </c>
      <c r="Q9" s="211" t="s">
        <v>195</v>
      </c>
      <c r="R9" s="211" t="s">
        <v>195</v>
      </c>
      <c r="S9" s="211" t="s">
        <v>195</v>
      </c>
      <c r="T9" s="211" t="s">
        <v>195</v>
      </c>
      <c r="U9" s="211" t="s">
        <v>195</v>
      </c>
      <c r="V9" s="211" t="s">
        <v>195</v>
      </c>
    </row>
    <row r="10" spans="2:22" x14ac:dyDescent="0.3">
      <c r="B10" t="s">
        <v>48</v>
      </c>
      <c r="E10" s="211" t="str">
        <f>'Statements Summary 2024'!V10</f>
        <v>-</v>
      </c>
      <c r="F10" s="211" t="str">
        <f t="shared" si="0"/>
        <v>-</v>
      </c>
      <c r="G10" s="211" t="str">
        <f>'Statements Summary 2026'!V10</f>
        <v>-</v>
      </c>
      <c r="H10" s="211" t="str">
        <f>'Statements Summary 2027'!V10</f>
        <v>-</v>
      </c>
      <c r="I10" s="211" t="str">
        <f>'Statements Summary 2028'!V10</f>
        <v>-</v>
      </c>
      <c r="K10" s="211" t="s">
        <v>195</v>
      </c>
      <c r="L10" s="211" t="s">
        <v>195</v>
      </c>
      <c r="M10" s="211" t="s">
        <v>195</v>
      </c>
      <c r="N10" s="211" t="s">
        <v>195</v>
      </c>
      <c r="O10" s="211" t="s">
        <v>195</v>
      </c>
      <c r="P10" s="211" t="s">
        <v>195</v>
      </c>
      <c r="Q10" s="211" t="s">
        <v>195</v>
      </c>
      <c r="R10" s="211" t="s">
        <v>195</v>
      </c>
      <c r="S10" s="211" t="s">
        <v>195</v>
      </c>
      <c r="T10" s="211" t="s">
        <v>195</v>
      </c>
      <c r="U10" s="211" t="s">
        <v>195</v>
      </c>
      <c r="V10" s="211" t="s">
        <v>195</v>
      </c>
    </row>
    <row r="11" spans="2:22" x14ac:dyDescent="0.3">
      <c r="B11" t="s">
        <v>49</v>
      </c>
      <c r="E11" s="211" t="str">
        <f>'Statements Summary 2024'!V11</f>
        <v>-</v>
      </c>
      <c r="F11" s="211" t="str">
        <f t="shared" si="0"/>
        <v>-</v>
      </c>
      <c r="G11" s="211" t="str">
        <f>'Statements Summary 2026'!V11</f>
        <v>-</v>
      </c>
      <c r="H11" s="211" t="str">
        <f>'Statements Summary 2027'!V11</f>
        <v>-</v>
      </c>
      <c r="I11" s="211" t="str">
        <f>'Statements Summary 2028'!V11</f>
        <v>-</v>
      </c>
      <c r="K11" s="211">
        <f>'CF 2025'!G28</f>
        <v>0</v>
      </c>
      <c r="L11" s="211" t="s">
        <v>195</v>
      </c>
      <c r="M11" s="211" t="s">
        <v>195</v>
      </c>
      <c r="N11" s="211" t="s">
        <v>195</v>
      </c>
      <c r="O11" s="211" t="s">
        <v>195</v>
      </c>
      <c r="P11" s="211" t="s">
        <v>195</v>
      </c>
      <c r="Q11" s="211" t="s">
        <v>195</v>
      </c>
      <c r="R11" s="211" t="s">
        <v>195</v>
      </c>
      <c r="S11" s="211" t="s">
        <v>195</v>
      </c>
      <c r="T11" s="211" t="s">
        <v>195</v>
      </c>
      <c r="U11" s="211" t="s">
        <v>195</v>
      </c>
      <c r="V11" s="211" t="s">
        <v>195</v>
      </c>
    </row>
    <row r="12" spans="2:22" x14ac:dyDescent="0.3">
      <c r="B12" t="s">
        <v>50</v>
      </c>
      <c r="E12" s="211">
        <f>'Statements Summary 2024'!V12</f>
        <v>-16818</v>
      </c>
      <c r="F12" s="211">
        <f t="shared" si="0"/>
        <v>-16818</v>
      </c>
      <c r="G12" s="211">
        <f>'Statements Summary 2026'!V12</f>
        <v>0</v>
      </c>
      <c r="H12" s="211">
        <f>'Statements Summary 2027'!V12</f>
        <v>0</v>
      </c>
      <c r="I12" s="211">
        <f>'Statements Summary 2028'!V12</f>
        <v>0</v>
      </c>
      <c r="K12" s="211" t="s">
        <v>195</v>
      </c>
      <c r="L12" s="211">
        <f>'CF 2025'!H34</f>
        <v>-16818</v>
      </c>
      <c r="M12" s="211">
        <f>'CF 2025'!I34</f>
        <v>-16818</v>
      </c>
      <c r="N12" s="211">
        <f>'CF 2025'!J34</f>
        <v>-16818</v>
      </c>
      <c r="O12" s="211">
        <f>'CF 2025'!K34</f>
        <v>-16818</v>
      </c>
      <c r="P12" s="211">
        <f>'CF 2025'!L34</f>
        <v>-16818</v>
      </c>
      <c r="Q12" s="211">
        <f>'CF 2025'!M34</f>
        <v>-16818</v>
      </c>
      <c r="R12" s="211">
        <f>'CF 2025'!N34</f>
        <v>-16818</v>
      </c>
      <c r="S12" s="211">
        <f>'CF 2025'!O34</f>
        <v>-16818</v>
      </c>
      <c r="T12" s="211">
        <f>'CF 2025'!P34</f>
        <v>-16818</v>
      </c>
      <c r="U12" s="211">
        <f>'CF 2025'!Q34</f>
        <v>-16818</v>
      </c>
      <c r="V12" s="211">
        <f>'CF 2025'!R34</f>
        <v>-16818</v>
      </c>
    </row>
    <row r="13" spans="2:22" x14ac:dyDescent="0.3">
      <c r="B13" t="s">
        <v>51</v>
      </c>
      <c r="E13" s="211" t="str">
        <f>'Statements Summary 2024'!V13</f>
        <v>-</v>
      </c>
      <c r="F13" s="211" t="str">
        <f t="shared" si="0"/>
        <v>-</v>
      </c>
      <c r="G13" s="211" t="str">
        <f>'Statements Summary 2026'!V13</f>
        <v>-</v>
      </c>
      <c r="H13" s="211" t="str">
        <f>'Statements Summary 2027'!V13</f>
        <v>-</v>
      </c>
      <c r="I13" s="211" t="str">
        <f>'Statements Summary 2028'!V13</f>
        <v>-</v>
      </c>
      <c r="K13" s="211" t="s">
        <v>195</v>
      </c>
      <c r="L13" s="211" t="s">
        <v>195</v>
      </c>
      <c r="M13" s="211" t="s">
        <v>195</v>
      </c>
      <c r="N13" s="211" t="s">
        <v>195</v>
      </c>
      <c r="O13" s="211" t="s">
        <v>195</v>
      </c>
      <c r="P13" s="211" t="s">
        <v>195</v>
      </c>
      <c r="Q13" s="211" t="s">
        <v>195</v>
      </c>
      <c r="R13" s="211" t="s">
        <v>195</v>
      </c>
      <c r="S13" s="211" t="s">
        <v>195</v>
      </c>
      <c r="T13" s="211" t="s">
        <v>195</v>
      </c>
      <c r="U13" s="211" t="s">
        <v>195</v>
      </c>
      <c r="V13" s="211" t="s">
        <v>195</v>
      </c>
    </row>
    <row r="14" spans="2:22" x14ac:dyDescent="0.3">
      <c r="B14" t="s">
        <v>52</v>
      </c>
      <c r="E14" s="211" t="str">
        <f>'Statements Summary 2024'!V14</f>
        <v>-</v>
      </c>
      <c r="F14" s="211" t="str">
        <f t="shared" si="0"/>
        <v>-</v>
      </c>
      <c r="G14" s="211" t="str">
        <f>'Statements Summary 2026'!V14</f>
        <v>-</v>
      </c>
      <c r="H14" s="211" t="str">
        <f>'Statements Summary 2027'!V14</f>
        <v>-</v>
      </c>
      <c r="I14" s="211" t="str">
        <f>'Statements Summary 2028'!V14</f>
        <v>-</v>
      </c>
      <c r="K14" s="211" t="s">
        <v>195</v>
      </c>
      <c r="L14" s="211" t="s">
        <v>195</v>
      </c>
      <c r="M14" s="211" t="s">
        <v>195</v>
      </c>
      <c r="N14" s="211" t="s">
        <v>195</v>
      </c>
      <c r="O14" s="211" t="s">
        <v>195</v>
      </c>
      <c r="P14" s="211" t="s">
        <v>195</v>
      </c>
      <c r="Q14" s="211" t="s">
        <v>195</v>
      </c>
      <c r="R14" s="211" t="s">
        <v>195</v>
      </c>
      <c r="S14" s="211" t="s">
        <v>195</v>
      </c>
      <c r="T14" s="211" t="s">
        <v>195</v>
      </c>
      <c r="U14" s="211" t="s">
        <v>195</v>
      </c>
      <c r="V14" s="211" t="s">
        <v>195</v>
      </c>
    </row>
    <row r="15" spans="2:22" x14ac:dyDescent="0.3">
      <c r="B15" t="s">
        <v>53</v>
      </c>
      <c r="E15" s="211">
        <f>'Statements Summary 2024'!V15</f>
        <v>-16818</v>
      </c>
      <c r="F15" s="211">
        <f t="shared" si="0"/>
        <v>-16818</v>
      </c>
      <c r="G15" s="211">
        <f>'Statements Summary 2026'!V15</f>
        <v>0</v>
      </c>
      <c r="H15" s="211">
        <f>'Statements Summary 2027'!V15</f>
        <v>0</v>
      </c>
      <c r="I15" s="211">
        <f>'Statements Summary 2028'!V15</f>
        <v>0</v>
      </c>
      <c r="K15" s="211" t="s">
        <v>195</v>
      </c>
      <c r="L15" s="211">
        <f>'CF 2025'!H34</f>
        <v>-16818</v>
      </c>
      <c r="M15" s="211">
        <f>'CF 2025'!I34</f>
        <v>-16818</v>
      </c>
      <c r="N15" s="211">
        <f>'CF 2025'!J34</f>
        <v>-16818</v>
      </c>
      <c r="O15" s="211">
        <f>'CF 2025'!K34</f>
        <v>-16818</v>
      </c>
      <c r="P15" s="211">
        <f>'CF 2025'!L34</f>
        <v>-16818</v>
      </c>
      <c r="Q15" s="211">
        <f>'CF 2025'!M34</f>
        <v>-16818</v>
      </c>
      <c r="R15" s="211">
        <f>'CF 2025'!N34</f>
        <v>-16818</v>
      </c>
      <c r="S15" s="211">
        <f>'CF 2025'!O34</f>
        <v>-16818</v>
      </c>
      <c r="T15" s="211">
        <f>'CF 2025'!P34</f>
        <v>-16818</v>
      </c>
      <c r="U15" s="211">
        <f>'CF 2025'!Q34</f>
        <v>-16818</v>
      </c>
      <c r="V15" s="211">
        <f>'CF 2025'!R34</f>
        <v>-16818</v>
      </c>
    </row>
    <row r="16" spans="2:22" x14ac:dyDescent="0.3">
      <c r="B16" t="s">
        <v>200</v>
      </c>
      <c r="E16" s="211">
        <f>'Statements Summary 2024'!V16</f>
        <v>290479.59999999998</v>
      </c>
      <c r="F16" s="211">
        <f t="shared" si="0"/>
        <v>439897.78639999998</v>
      </c>
      <c r="G16" s="211">
        <f>'Statements Summary 2026'!V16</f>
        <v>529128</v>
      </c>
      <c r="H16" s="211">
        <f>'Statements Summary 2027'!V16</f>
        <v>807025.6</v>
      </c>
      <c r="I16" s="211">
        <f>'Statements Summary 2028'!V16</f>
        <v>906857.6</v>
      </c>
      <c r="K16" s="211">
        <f>'CF 2025'!G23</f>
        <v>370781.78240000008</v>
      </c>
      <c r="L16" s="211">
        <f>'CF 2025'!H23</f>
        <v>380249.91359999997</v>
      </c>
      <c r="M16" s="211">
        <f>'CF 2025'!I23</f>
        <v>388146.04479999997</v>
      </c>
      <c r="N16" s="211">
        <f>'CF 2025'!J23</f>
        <v>395950.17599999998</v>
      </c>
      <c r="O16" s="211">
        <f>'CF 2025'!K23</f>
        <v>397463.51040000003</v>
      </c>
      <c r="P16" s="211">
        <f>'CF 2025'!L23</f>
        <v>403686.94239999994</v>
      </c>
      <c r="Q16" s="211">
        <f>'CF 2025'!M23</f>
        <v>416525.17119999998</v>
      </c>
      <c r="R16" s="211">
        <f>'CF 2025'!N23</f>
        <v>417613.80639999988</v>
      </c>
      <c r="S16" s="211">
        <f>'CF 2025'!O23</f>
        <v>434021.43359999999</v>
      </c>
      <c r="T16" s="211">
        <f>'CF 2025'!P23</f>
        <v>439014.94959999993</v>
      </c>
      <c r="U16" s="211">
        <f>'CF 2025'!Q23</f>
        <v>433864.27039999998</v>
      </c>
      <c r="V16" s="211">
        <f>'CF 2025'!R23</f>
        <v>439897.78639999998</v>
      </c>
    </row>
    <row r="17" spans="2:22" x14ac:dyDescent="0.3">
      <c r="B17" t="s">
        <v>54</v>
      </c>
      <c r="E17" s="211">
        <f>'Statements Summary 2024'!V17</f>
        <v>564141.19999999995</v>
      </c>
      <c r="F17" s="211">
        <f t="shared" si="0"/>
        <v>862977.57279999997</v>
      </c>
      <c r="G17" s="211">
        <f>'Statements Summary 2026'!V17</f>
        <v>1058256</v>
      </c>
      <c r="H17" s="211">
        <f>'Statements Summary 2027'!V17</f>
        <v>1614051.2000000002</v>
      </c>
      <c r="I17" s="211">
        <f>'Statements Summary 2028'!V17</f>
        <v>1813715.2000000002</v>
      </c>
      <c r="K17" s="211">
        <f>'CF 2025'!G44+'CF 2025'!G21+'CF 2025'!G22</f>
        <v>724745.56480000028</v>
      </c>
      <c r="L17" s="211">
        <f>'CF 2025'!H44+'CF 2025'!H21+'CF 2025'!H22</f>
        <v>743681.82719999994</v>
      </c>
      <c r="M17" s="211">
        <f>'CF 2025'!I44+'CF 2025'!I21+'CF 2025'!I22</f>
        <v>759474.08959999983</v>
      </c>
      <c r="N17" s="211">
        <f>'CF 2025'!J44+'CF 2025'!J21+'CF 2025'!J22</f>
        <v>775082.35199999996</v>
      </c>
      <c r="O17" s="211">
        <f>'CF 2025'!K44+'CF 2025'!K21+'CF 2025'!K22</f>
        <v>778109.02080000006</v>
      </c>
      <c r="P17" s="211">
        <f>'CF 2025'!L44+'CF 2025'!L21+'CF 2025'!L22</f>
        <v>790555.88479999988</v>
      </c>
      <c r="Q17" s="211">
        <f>'CF 2025'!M44+'CF 2025'!M21+'CF 2025'!M22</f>
        <v>816232.34239999996</v>
      </c>
      <c r="R17" s="211">
        <f>'CF 2025'!N44+'CF 2025'!N21+'CF 2025'!N22</f>
        <v>818409.61279999977</v>
      </c>
      <c r="S17" s="211">
        <f>'CF 2025'!O44+'CF 2025'!O21+'CF 2025'!O22</f>
        <v>851224.86719999998</v>
      </c>
      <c r="T17" s="211">
        <f>'CF 2025'!P44+'CF 2025'!P21+'CF 2025'!P22</f>
        <v>861211.89919999987</v>
      </c>
      <c r="U17" s="211">
        <f>'CF 2025'!Q44+'CF 2025'!Q21+'CF 2025'!Q22</f>
        <v>850910.54080000008</v>
      </c>
      <c r="V17" s="211">
        <f>'CF 2025'!R44+'CF 2025'!R21+'CF 2025'!R22</f>
        <v>862977.57279999997</v>
      </c>
    </row>
    <row r="19" spans="2:22" x14ac:dyDescent="0.3">
      <c r="B19" s="181" t="s">
        <v>329</v>
      </c>
      <c r="C19" s="154"/>
      <c r="D19" s="154"/>
      <c r="E19" s="154"/>
      <c r="F19" s="154"/>
      <c r="G19" s="154"/>
      <c r="H19" s="154"/>
      <c r="I19" s="154"/>
      <c r="K19" s="387" t="s">
        <v>251</v>
      </c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</row>
    <row r="42" spans="2:22" x14ac:dyDescent="0.3">
      <c r="B42" s="181" t="s">
        <v>331</v>
      </c>
      <c r="C42" s="181"/>
      <c r="D42" s="181"/>
      <c r="E42" s="181"/>
      <c r="F42" s="154"/>
      <c r="G42" s="154"/>
      <c r="H42" s="154"/>
      <c r="I42" s="154"/>
      <c r="J42" s="154"/>
      <c r="K42" s="387" t="s">
        <v>252</v>
      </c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</row>
    <row r="44" spans="2:22" x14ac:dyDescent="0.3">
      <c r="B44" s="199" t="s">
        <v>27</v>
      </c>
      <c r="C44" s="199"/>
      <c r="D44" s="199"/>
      <c r="E44" s="200">
        <v>2024</v>
      </c>
      <c r="F44" s="200">
        <v>2025</v>
      </c>
      <c r="G44" s="200">
        <v>2026</v>
      </c>
      <c r="H44" s="200">
        <v>2027</v>
      </c>
      <c r="I44" s="200">
        <v>2028</v>
      </c>
      <c r="J44" s="199"/>
      <c r="K44" s="199" t="s">
        <v>32</v>
      </c>
      <c r="L44" s="199" t="s">
        <v>33</v>
      </c>
      <c r="M44" s="199" t="s">
        <v>34</v>
      </c>
      <c r="N44" s="199" t="s">
        <v>35</v>
      </c>
      <c r="O44" s="199" t="s">
        <v>36</v>
      </c>
      <c r="P44" s="199" t="s">
        <v>37</v>
      </c>
      <c r="Q44" s="199" t="s">
        <v>38</v>
      </c>
      <c r="R44" s="199" t="s">
        <v>39</v>
      </c>
      <c r="S44" s="199" t="s">
        <v>40</v>
      </c>
      <c r="T44" s="199" t="s">
        <v>41</v>
      </c>
      <c r="U44" s="199" t="s">
        <v>42</v>
      </c>
      <c r="V44" s="199" t="s">
        <v>43</v>
      </c>
    </row>
    <row r="45" spans="2:22" x14ac:dyDescent="0.3">
      <c r="B45" s="23" t="s">
        <v>2</v>
      </c>
      <c r="C45" s="23"/>
      <c r="D45" s="23"/>
      <c r="E45" s="201">
        <f>'Statements Summary 2024'!V44</f>
        <v>449900</v>
      </c>
      <c r="F45" s="201">
        <f t="shared" ref="F45:F65" si="1">V45</f>
        <v>586218.73300000001</v>
      </c>
      <c r="G45" s="201">
        <f>'Statements Summary 2026'!V45</f>
        <v>661710</v>
      </c>
      <c r="H45" s="201">
        <f>'Statements Summary 2027'!V45</f>
        <v>994995</v>
      </c>
      <c r="I45" s="201">
        <f>'Statements Summary 2028'!V45</f>
        <v>1118310</v>
      </c>
      <c r="K45" s="201">
        <f>'IS 2025'!F17</f>
        <v>546073.22800000012</v>
      </c>
      <c r="L45" s="201">
        <f>'IS 2025'!G17</f>
        <v>553703.89199999999</v>
      </c>
      <c r="M45" s="201">
        <f>'IS 2025'!H17</f>
        <v>559369.55599999998</v>
      </c>
      <c r="N45" s="201">
        <f>'IS 2025'!I17</f>
        <v>564920.22</v>
      </c>
      <c r="O45" s="201">
        <f>'IS 2025'!J17</f>
        <v>562607.38800000004</v>
      </c>
      <c r="P45" s="201">
        <f>'IS 2025'!K17</f>
        <v>566182.17799999996</v>
      </c>
      <c r="Q45" s="201">
        <f>'IS 2025'!L17</f>
        <v>578025.46400000004</v>
      </c>
      <c r="R45" s="201">
        <f>'IS 2025'!M17</f>
        <v>575181.75799999991</v>
      </c>
      <c r="S45" s="201">
        <f>'IS 2025'!N17</f>
        <v>591486.79200000002</v>
      </c>
      <c r="T45" s="201">
        <f>'IS 2025'!O17</f>
        <v>593524.18699999992</v>
      </c>
      <c r="U45" s="201">
        <f>'IS 2025'!P17</f>
        <v>582881.33799999999</v>
      </c>
      <c r="V45" s="201">
        <f>'IS 2025'!Q17</f>
        <v>586218.73300000001</v>
      </c>
    </row>
    <row r="46" spans="2:22" x14ac:dyDescent="0.3">
      <c r="B46" t="s">
        <v>28</v>
      </c>
      <c r="E46" s="1">
        <f>'Statements Summary 2024'!V45</f>
        <v>3.166250445950767E-3</v>
      </c>
      <c r="F46" s="2">
        <f t="shared" si="1"/>
        <v>5.7256851136311708E-3</v>
      </c>
      <c r="G46" s="2">
        <f>'Statements Summary 2026'!V46</f>
        <v>5.1468251446005212E-2</v>
      </c>
      <c r="H46" s="2">
        <f>'Statements Summary 2027'!V46</f>
        <v>7.9777534646243622E-3</v>
      </c>
      <c r="I46" s="2">
        <f>'Statements Summary 2028'!V46</f>
        <v>7.9268869731369106E-3</v>
      </c>
      <c r="K46" s="2"/>
      <c r="L46" s="2">
        <f t="shared" ref="L46" si="2">(L45-K45)/K45</f>
        <v>1.3973700977700874E-2</v>
      </c>
      <c r="M46" s="2">
        <f>(M45-L45)/L45</f>
        <v>1.0232299396587933E-2</v>
      </c>
      <c r="N46" s="2">
        <f>(N45-M45)/M45</f>
        <v>9.9230713228161283E-3</v>
      </c>
      <c r="O46" s="2">
        <f t="shared" ref="O46:T46" si="3">(O45-N45)/N45</f>
        <v>-4.0940860640462417E-3</v>
      </c>
      <c r="P46" s="2">
        <f t="shared" si="3"/>
        <v>6.353969173259276E-3</v>
      </c>
      <c r="Q46" s="2">
        <f t="shared" si="3"/>
        <v>2.0917800771892332E-2</v>
      </c>
      <c r="R46" s="2">
        <f t="shared" si="3"/>
        <v>-4.9196898356715334E-3</v>
      </c>
      <c r="S46" s="2">
        <f t="shared" si="3"/>
        <v>2.8347620162182029E-2</v>
      </c>
      <c r="T46" s="2">
        <f t="shared" si="3"/>
        <v>3.444531691250178E-3</v>
      </c>
      <c r="U46" s="2">
        <f>(U45-T45)/T45</f>
        <v>-1.7931618008349054E-2</v>
      </c>
      <c r="V46" s="2">
        <f t="shared" ref="V46" si="4">(V45-U45)/U45</f>
        <v>5.7256851136311708E-3</v>
      </c>
    </row>
    <row r="47" spans="2:22" x14ac:dyDescent="0.3">
      <c r="B47" t="s">
        <v>3</v>
      </c>
      <c r="E47" s="1">
        <f>'Statements Summary 2024'!V46</f>
        <v>-10390</v>
      </c>
      <c r="F47" s="1">
        <f t="shared" si="1"/>
        <v>-10390</v>
      </c>
      <c r="G47" s="1">
        <f>'Statements Summary 2026'!V47</f>
        <v>8610</v>
      </c>
      <c r="H47" s="1">
        <f>'Statements Summary 2027'!V47</f>
        <v>-32544</v>
      </c>
      <c r="I47" s="1">
        <f>'Statements Summary 2028'!V47</f>
        <v>-38444</v>
      </c>
      <c r="K47" s="1">
        <f>'IS 2025'!F18</f>
        <v>-10390</v>
      </c>
      <c r="L47" s="1">
        <f>'IS 2025'!G18</f>
        <v>-10390</v>
      </c>
      <c r="M47" s="1">
        <f>'IS 2025'!H18</f>
        <v>-10390</v>
      </c>
      <c r="N47" s="1">
        <f>'IS 2025'!I18</f>
        <v>-10390</v>
      </c>
      <c r="O47" s="1">
        <f>'IS 2025'!J18</f>
        <v>-10390</v>
      </c>
      <c r="P47" s="1">
        <f>'IS 2025'!K18</f>
        <v>-10390</v>
      </c>
      <c r="Q47" s="1">
        <f>'IS 2025'!L18</f>
        <v>-10390</v>
      </c>
      <c r="R47" s="1">
        <f>'IS 2025'!M18</f>
        <v>-10390</v>
      </c>
      <c r="S47" s="1">
        <f>'IS 2025'!N18</f>
        <v>-10390</v>
      </c>
      <c r="T47" s="1">
        <f>'IS 2025'!O18</f>
        <v>-10390</v>
      </c>
      <c r="U47" s="1">
        <f>'IS 2025'!P18</f>
        <v>-10390</v>
      </c>
      <c r="V47" s="1">
        <f>'IS 2025'!Q18</f>
        <v>-10390</v>
      </c>
    </row>
    <row r="48" spans="2:22" x14ac:dyDescent="0.3">
      <c r="B48" t="s">
        <v>29</v>
      </c>
      <c r="E48" s="2">
        <f>'Statements Summary 2024'!V47</f>
        <v>-2.3094020893531898E-2</v>
      </c>
      <c r="F48" s="2">
        <f t="shared" si="1"/>
        <v>-1.772375977619944E-2</v>
      </c>
      <c r="G48" s="2">
        <f>'Statements Summary 2026'!V48</f>
        <v>1.3011742304030467E-2</v>
      </c>
      <c r="H48" s="2">
        <f>'Statements Summary 2027'!V48</f>
        <v>-3.2707702048754013E-2</v>
      </c>
      <c r="I48" s="2">
        <f>'Statements Summary 2028'!V48</f>
        <v>-3.4376872244726416E-2</v>
      </c>
      <c r="K48" s="2">
        <f>K47/K45</f>
        <v>-1.9026752214265297E-2</v>
      </c>
      <c r="L48" s="2">
        <f t="shared" ref="L48:V48" si="5">L47/L45</f>
        <v>-1.8764542113783807E-2</v>
      </c>
      <c r="M48" s="2">
        <f t="shared" si="5"/>
        <v>-1.8574482448236781E-2</v>
      </c>
      <c r="N48" s="2">
        <f t="shared" si="5"/>
        <v>-1.8391977543306914E-2</v>
      </c>
      <c r="O48" s="2">
        <f t="shared" si="5"/>
        <v>-1.8467585427441986E-2</v>
      </c>
      <c r="P48" s="2">
        <f t="shared" si="5"/>
        <v>-1.8350983841812132E-2</v>
      </c>
      <c r="Q48" s="2">
        <f t="shared" si="5"/>
        <v>-1.7974986652145138E-2</v>
      </c>
      <c r="R48" s="2">
        <f t="shared" si="5"/>
        <v>-1.8063855217049497E-2</v>
      </c>
      <c r="S48" s="2">
        <f t="shared" si="5"/>
        <v>-1.7565903652502862E-2</v>
      </c>
      <c r="T48" s="2">
        <f t="shared" si="5"/>
        <v>-1.7505605041164062E-2</v>
      </c>
      <c r="U48" s="2">
        <f t="shared" si="5"/>
        <v>-1.7825240443707601E-2</v>
      </c>
      <c r="V48" s="2">
        <f t="shared" si="5"/>
        <v>-1.772375977619944E-2</v>
      </c>
    </row>
    <row r="49" spans="2:22" x14ac:dyDescent="0.3">
      <c r="B49" t="s">
        <v>4</v>
      </c>
      <c r="E49" s="1">
        <f>'Statements Summary 2024'!V48</f>
        <v>439510</v>
      </c>
      <c r="F49" s="1">
        <f t="shared" si="1"/>
        <v>575828.73300000001</v>
      </c>
      <c r="G49" s="1">
        <f>'Statements Summary 2026'!V49</f>
        <v>670320</v>
      </c>
      <c r="H49" s="1">
        <f>'Statements Summary 2027'!V49</f>
        <v>962451</v>
      </c>
      <c r="I49" s="1">
        <f>'Statements Summary 2028'!V49</f>
        <v>1079866</v>
      </c>
      <c r="K49" s="1">
        <f>'IS 2025'!F27</f>
        <v>535683.22800000012</v>
      </c>
      <c r="L49" s="1">
        <f>'IS 2025'!G27</f>
        <v>543313.89199999999</v>
      </c>
      <c r="M49" s="1">
        <f>'IS 2025'!H27</f>
        <v>548979.55599999998</v>
      </c>
      <c r="N49" s="1">
        <f>'IS 2025'!I27</f>
        <v>554530.22</v>
      </c>
      <c r="O49" s="1">
        <f>'IS 2025'!J27</f>
        <v>552217.38800000004</v>
      </c>
      <c r="P49" s="1">
        <f>'IS 2025'!K27</f>
        <v>555792.17799999996</v>
      </c>
      <c r="Q49" s="1">
        <f>'IS 2025'!L27</f>
        <v>567635.46400000004</v>
      </c>
      <c r="R49" s="1">
        <f>'IS 2025'!M27</f>
        <v>564791.75799999991</v>
      </c>
      <c r="S49" s="1">
        <f>'IS 2025'!N27</f>
        <v>581096.79200000002</v>
      </c>
      <c r="T49" s="1">
        <f>'IS 2025'!O27</f>
        <v>583134.18699999992</v>
      </c>
      <c r="U49" s="1">
        <f>'IS 2025'!P27</f>
        <v>572491.33799999999</v>
      </c>
      <c r="V49" s="1">
        <f>'IS 2025'!Q27</f>
        <v>575828.73300000001</v>
      </c>
    </row>
    <row r="50" spans="2:22" x14ac:dyDescent="0.3">
      <c r="B50" t="s">
        <v>30</v>
      </c>
      <c r="E50" s="2">
        <f>'Statements Summary 2024'!V49</f>
        <v>0.97690597910646815</v>
      </c>
      <c r="F50" s="2">
        <f t="shared" si="1"/>
        <v>0.98227624022380056</v>
      </c>
      <c r="G50" s="2">
        <f>'Statements Summary 2026'!V50</f>
        <v>1.0130117423040306</v>
      </c>
      <c r="H50" s="2">
        <f>'Statements Summary 2027'!V50</f>
        <v>0.96729229795124594</v>
      </c>
      <c r="I50" s="2">
        <f>'Statements Summary 2028'!V50</f>
        <v>0.96562312775527359</v>
      </c>
      <c r="K50" s="2">
        <f>K49/K45</f>
        <v>0.98097324778573469</v>
      </c>
      <c r="L50" s="2">
        <f t="shared" ref="L50:V50" si="6">L49/L45</f>
        <v>0.98123545788621624</v>
      </c>
      <c r="M50" s="2">
        <f t="shared" si="6"/>
        <v>0.98142551755176322</v>
      </c>
      <c r="N50" s="2">
        <f t="shared" si="6"/>
        <v>0.9816080224566931</v>
      </c>
      <c r="O50" s="2">
        <f t="shared" si="6"/>
        <v>0.98153241457255802</v>
      </c>
      <c r="P50" s="2">
        <f t="shared" si="6"/>
        <v>0.98164901615818789</v>
      </c>
      <c r="Q50" s="2">
        <f t="shared" si="6"/>
        <v>0.98202501334785486</v>
      </c>
      <c r="R50" s="2">
        <f t="shared" si="6"/>
        <v>0.98193614478295055</v>
      </c>
      <c r="S50" s="2">
        <f t="shared" si="6"/>
        <v>0.98243409634749712</v>
      </c>
      <c r="T50" s="2">
        <f t="shared" si="6"/>
        <v>0.98249439495883595</v>
      </c>
      <c r="U50" s="2">
        <f t="shared" si="6"/>
        <v>0.98217475955629241</v>
      </c>
      <c r="V50" s="2">
        <f t="shared" si="6"/>
        <v>0.98227624022380056</v>
      </c>
    </row>
    <row r="51" spans="2:22" x14ac:dyDescent="0.3">
      <c r="B51" t="s">
        <v>6</v>
      </c>
      <c r="E51" s="1">
        <f>'Statements Summary 2024'!V50</f>
        <v>-2285</v>
      </c>
      <c r="F51" s="1">
        <f t="shared" si="1"/>
        <v>-2285</v>
      </c>
      <c r="G51" s="1">
        <f>'Statements Summary 2026'!V51</f>
        <v>-2285</v>
      </c>
      <c r="H51" s="1">
        <f>'Statements Summary 2027'!V51</f>
        <v>-17479</v>
      </c>
      <c r="I51" s="1">
        <f>'Statements Summary 2028'!V51</f>
        <v>-17479</v>
      </c>
      <c r="K51" s="1">
        <f>'IS 2025'!F39</f>
        <v>-2285</v>
      </c>
      <c r="L51" s="1">
        <f>'IS 2025'!G39</f>
        <v>-2285</v>
      </c>
      <c r="M51" s="1">
        <f>'IS 2025'!H39</f>
        <v>-2285</v>
      </c>
      <c r="N51" s="1">
        <f>'IS 2025'!I39</f>
        <v>-2285</v>
      </c>
      <c r="O51" s="1">
        <f>'IS 2025'!J39</f>
        <v>-2285</v>
      </c>
      <c r="P51" s="1">
        <f>'IS 2025'!K39</f>
        <v>-2285</v>
      </c>
      <c r="Q51" s="1">
        <f>'IS 2025'!L39</f>
        <v>-2285</v>
      </c>
      <c r="R51" s="1">
        <f>'IS 2025'!M39</f>
        <v>-2285</v>
      </c>
      <c r="S51" s="1">
        <f>'IS 2025'!N39</f>
        <v>-2285</v>
      </c>
      <c r="T51" s="1">
        <f>'IS 2025'!O39</f>
        <v>-2285</v>
      </c>
      <c r="U51" s="1">
        <f>'IS 2025'!P39</f>
        <v>-2285</v>
      </c>
      <c r="V51" s="1">
        <f>'IS 2025'!Q39</f>
        <v>-2285</v>
      </c>
    </row>
    <row r="52" spans="2:22" x14ac:dyDescent="0.3">
      <c r="B52" t="s">
        <v>29</v>
      </c>
      <c r="E52" s="2">
        <f>'Statements Summary 2024'!V51</f>
        <v>-5.0789064236496997E-3</v>
      </c>
      <c r="F52" s="2">
        <f t="shared" si="1"/>
        <v>-3.8978624724365471E-3</v>
      </c>
      <c r="G52" s="2">
        <f>'Statements Summary 2026'!V52</f>
        <v>-3.4531743513019296E-3</v>
      </c>
      <c r="H52" s="2">
        <f>'Statements Summary 2027'!V52</f>
        <v>-1.7566922446846468E-2</v>
      </c>
      <c r="I52" s="2">
        <f>'Statements Summary 2028'!V52</f>
        <v>-1.5629834303547318E-2</v>
      </c>
      <c r="K52" s="2">
        <f>K51/K45</f>
        <v>-4.1844204821555537E-3</v>
      </c>
      <c r="L52" s="2">
        <f t="shared" ref="L52:V52" si="7">L51/L45</f>
        <v>-4.1267544494702595E-3</v>
      </c>
      <c r="M52" s="2">
        <f t="shared" si="7"/>
        <v>-4.0849559570953842E-3</v>
      </c>
      <c r="N52" s="2">
        <f t="shared" si="7"/>
        <v>-4.0448189303615295E-3</v>
      </c>
      <c r="O52" s="2">
        <f t="shared" si="7"/>
        <v>-4.0614468432824775E-3</v>
      </c>
      <c r="P52" s="2">
        <f t="shared" si="7"/>
        <v>-4.0358034724293284E-3</v>
      </c>
      <c r="Q52" s="2">
        <f t="shared" si="7"/>
        <v>-3.953113041400543E-3</v>
      </c>
      <c r="R52" s="2">
        <f t="shared" si="7"/>
        <v>-3.9726572830566026E-3</v>
      </c>
      <c r="S52" s="2">
        <f t="shared" si="7"/>
        <v>-3.8631462796890315E-3</v>
      </c>
      <c r="T52" s="2">
        <f t="shared" si="7"/>
        <v>-3.8498852280134631E-3</v>
      </c>
      <c r="U52" s="2">
        <f t="shared" si="7"/>
        <v>-3.9201804055699584E-3</v>
      </c>
      <c r="V52" s="2">
        <f t="shared" si="7"/>
        <v>-3.8978624724365471E-3</v>
      </c>
    </row>
    <row r="53" spans="2:22" x14ac:dyDescent="0.3">
      <c r="B53" t="s">
        <v>196</v>
      </c>
      <c r="E53" s="1">
        <f>'Statements Summary 2024'!V52</f>
        <v>-4063</v>
      </c>
      <c r="F53" s="1">
        <f t="shared" si="1"/>
        <v>-4063</v>
      </c>
      <c r="G53" s="1">
        <f>'Statements Summary 2026'!V53</f>
        <v>-45063</v>
      </c>
      <c r="H53" s="1">
        <f>'Statements Summary 2027'!V53</f>
        <v>-45063</v>
      </c>
      <c r="I53" s="1">
        <f>'Statements Summary 2028'!V53</f>
        <v>-45063</v>
      </c>
      <c r="K53" s="1">
        <f>'IS 2025'!F40</f>
        <v>-4063</v>
      </c>
      <c r="L53" s="1">
        <f>'IS 2025'!G40</f>
        <v>-4063</v>
      </c>
      <c r="M53" s="1">
        <f>'IS 2025'!H40</f>
        <v>-4063</v>
      </c>
      <c r="N53" s="1">
        <f>'IS 2025'!I40</f>
        <v>-4063</v>
      </c>
      <c r="O53" s="1">
        <f>'IS 2025'!J40</f>
        <v>-4063</v>
      </c>
      <c r="P53" s="1">
        <f>'IS 2025'!K40</f>
        <v>-4063</v>
      </c>
      <c r="Q53" s="1">
        <f>'IS 2025'!L40</f>
        <v>-4063</v>
      </c>
      <c r="R53" s="1">
        <f>'IS 2025'!M40</f>
        <v>-4063</v>
      </c>
      <c r="S53" s="1">
        <f>'IS 2025'!N40</f>
        <v>-4063</v>
      </c>
      <c r="T53" s="1">
        <f>'IS 2025'!O40</f>
        <v>-4063</v>
      </c>
      <c r="U53" s="1">
        <f>'IS 2025'!P40</f>
        <v>-4063</v>
      </c>
      <c r="V53" s="1">
        <f>'IS 2025'!Q40</f>
        <v>-4063</v>
      </c>
    </row>
    <row r="54" spans="2:22" x14ac:dyDescent="0.3">
      <c r="B54" t="s">
        <v>29</v>
      </c>
      <c r="E54" s="2">
        <f>'Statements Summary 2024'!V53</f>
        <v>-9.0308957546121355E-3</v>
      </c>
      <c r="F54" s="2">
        <f t="shared" si="1"/>
        <v>-6.9308600549276541E-3</v>
      </c>
      <c r="G54" s="2">
        <f>'Statements Summary 2026'!V54</f>
        <v>-6.8100829668585938E-2</v>
      </c>
      <c r="H54" s="2">
        <f>'Statements Summary 2027'!V54</f>
        <v>-4.5289674822486546E-2</v>
      </c>
      <c r="I54" s="2">
        <f>'Statements Summary 2028'!V54</f>
        <v>-4.0295624647906217E-2</v>
      </c>
      <c r="K54" s="2">
        <f>K53/K45</f>
        <v>-7.440394056454273E-3</v>
      </c>
      <c r="L54" s="2">
        <f t="shared" ref="L54:V54" si="8">L53/L45</f>
        <v>-7.3378570364103562E-3</v>
      </c>
      <c r="M54" s="2">
        <f t="shared" si="8"/>
        <v>-7.2635343779774821E-3</v>
      </c>
      <c r="N54" s="2">
        <f t="shared" si="8"/>
        <v>-7.192166001776322E-3</v>
      </c>
      <c r="O54" s="2">
        <f t="shared" si="8"/>
        <v>-7.2217323957359759E-3</v>
      </c>
      <c r="P54" s="2">
        <f t="shared" si="8"/>
        <v>-7.1761354522889989E-3</v>
      </c>
      <c r="Q54" s="2">
        <f t="shared" si="8"/>
        <v>-7.029102095059258E-3</v>
      </c>
      <c r="R54" s="2">
        <f t="shared" si="8"/>
        <v>-7.0638540661089617E-3</v>
      </c>
      <c r="S54" s="2">
        <f t="shared" si="8"/>
        <v>-6.8691305620903875E-3</v>
      </c>
      <c r="T54" s="2">
        <f t="shared" si="8"/>
        <v>-6.8455508452598254E-3</v>
      </c>
      <c r="U54" s="2">
        <f t="shared" si="8"/>
        <v>-6.9705439771688147E-3</v>
      </c>
      <c r="V54" s="2">
        <f t="shared" si="8"/>
        <v>-6.9308600549276541E-3</v>
      </c>
    </row>
    <row r="55" spans="2:22" x14ac:dyDescent="0.3">
      <c r="B55" t="s">
        <v>31</v>
      </c>
      <c r="E55" s="1">
        <f>'Statements Summary 2024'!V54</f>
        <v>-8250</v>
      </c>
      <c r="F55" s="1">
        <f t="shared" si="1"/>
        <v>-8250</v>
      </c>
      <c r="G55" s="1">
        <f>'Statements Summary 2026'!V55</f>
        <v>-8250</v>
      </c>
      <c r="H55" s="1">
        <f>'Statements Summary 2027'!V55</f>
        <v>-8250</v>
      </c>
      <c r="I55" s="1">
        <f>'Statements Summary 2028'!V55</f>
        <v>-8250</v>
      </c>
      <c r="K55" s="1">
        <f>'IS 2025'!F59</f>
        <v>-8250</v>
      </c>
      <c r="L55" s="1">
        <f>'IS 2025'!G59</f>
        <v>-8250</v>
      </c>
      <c r="M55" s="1">
        <f>'IS 2025'!H59</f>
        <v>-8250</v>
      </c>
      <c r="N55" s="1">
        <f>'IS 2025'!I59</f>
        <v>-8250</v>
      </c>
      <c r="O55" s="1">
        <f>'IS 2025'!J59</f>
        <v>-8250</v>
      </c>
      <c r="P55" s="1">
        <f>'IS 2025'!K59</f>
        <v>-8250</v>
      </c>
      <c r="Q55" s="1">
        <f>'IS 2025'!L59</f>
        <v>-8250</v>
      </c>
      <c r="R55" s="1">
        <f>'IS 2025'!M59</f>
        <v>-8250</v>
      </c>
      <c r="S55" s="1">
        <f>'IS 2025'!N59</f>
        <v>-8250</v>
      </c>
      <c r="T55" s="1">
        <f>'IS 2025'!O59</f>
        <v>-8250</v>
      </c>
      <c r="U55" s="1">
        <f>'IS 2025'!P59</f>
        <v>-8250</v>
      </c>
      <c r="V55" s="1">
        <f>'IS 2025'!Q59</f>
        <v>-8250</v>
      </c>
    </row>
    <row r="56" spans="2:22" x14ac:dyDescent="0.3">
      <c r="B56" t="s">
        <v>29</v>
      </c>
      <c r="E56" s="2">
        <f>'Statements Summary 2024'!V55</f>
        <v>-1.8337408312958436E-2</v>
      </c>
      <c r="F56" s="2">
        <f t="shared" si="1"/>
        <v>-1.4073245250591471E-2</v>
      </c>
      <c r="G56" s="2">
        <f>'Statements Summary 2026'!V56</f>
        <v>-1.2467697329645918E-2</v>
      </c>
      <c r="H56" s="2">
        <f>'Statements Summary 2027'!V56</f>
        <v>-8.291498952256041E-3</v>
      </c>
      <c r="I56" s="2">
        <f>'Statements Summary 2028'!V56</f>
        <v>-7.3772031011079221E-3</v>
      </c>
      <c r="K56" s="2">
        <f>K55/K45</f>
        <v>-1.5107863885244341E-2</v>
      </c>
      <c r="L56" s="2">
        <f t="shared" ref="L56:V56" si="9">L55/L45</f>
        <v>-1.4899660484958267E-2</v>
      </c>
      <c r="M56" s="2">
        <f t="shared" si="9"/>
        <v>-1.4748746891044603E-2</v>
      </c>
      <c r="N56" s="2">
        <f t="shared" si="9"/>
        <v>-1.4603832024281234E-2</v>
      </c>
      <c r="O56" s="2">
        <f t="shared" si="9"/>
        <v>-1.4663867158459709E-2</v>
      </c>
      <c r="P56" s="2">
        <f t="shared" si="9"/>
        <v>-1.4571281683825803E-2</v>
      </c>
      <c r="Q56" s="2">
        <f t="shared" si="9"/>
        <v>-1.4272727611183578E-2</v>
      </c>
      <c r="R56" s="2">
        <f t="shared" si="9"/>
        <v>-1.4343292159832374E-2</v>
      </c>
      <c r="S56" s="2">
        <f t="shared" si="9"/>
        <v>-1.394790232272845E-2</v>
      </c>
      <c r="T56" s="2">
        <f t="shared" si="9"/>
        <v>-1.3900023252127382E-2</v>
      </c>
      <c r="U56" s="2">
        <f t="shared" si="9"/>
        <v>-1.4153824221423264E-2</v>
      </c>
      <c r="V56" s="2">
        <f t="shared" si="9"/>
        <v>-1.4073245250591471E-2</v>
      </c>
    </row>
    <row r="57" spans="2:22" x14ac:dyDescent="0.3">
      <c r="B57" s="23" t="s">
        <v>10</v>
      </c>
      <c r="C57" s="23"/>
      <c r="D57" s="23"/>
      <c r="E57" s="201">
        <f>'Statements Summary 2024'!V56</f>
        <v>428975</v>
      </c>
      <c r="F57" s="201">
        <f t="shared" si="1"/>
        <v>565293.73300000001</v>
      </c>
      <c r="G57" s="201">
        <f>'Statements Summary 2026'!V57</f>
        <v>659785</v>
      </c>
      <c r="H57" s="201">
        <f>'Statements Summary 2027'!V57</f>
        <v>936722</v>
      </c>
      <c r="I57" s="201">
        <f>'Statements Summary 2028'!V57</f>
        <v>1054137</v>
      </c>
      <c r="K57" s="201">
        <f>'IS 2025'!F60</f>
        <v>525148.22800000012</v>
      </c>
      <c r="L57" s="201">
        <f>'IS 2025'!G60</f>
        <v>532778.89199999999</v>
      </c>
      <c r="M57" s="201">
        <f>'IS 2025'!H60</f>
        <v>538444.55599999998</v>
      </c>
      <c r="N57" s="201">
        <f>'IS 2025'!I60</f>
        <v>543995.22</v>
      </c>
      <c r="O57" s="201">
        <f>'IS 2025'!J60</f>
        <v>541682.38800000004</v>
      </c>
      <c r="P57" s="201">
        <f>'IS 2025'!K60</f>
        <v>545257.17799999996</v>
      </c>
      <c r="Q57" s="201">
        <f>'IS 2025'!L60</f>
        <v>557100.46400000004</v>
      </c>
      <c r="R57" s="201">
        <f>'IS 2025'!M60</f>
        <v>554256.75799999991</v>
      </c>
      <c r="S57" s="201">
        <f>'IS 2025'!N60</f>
        <v>570561.79200000002</v>
      </c>
      <c r="T57" s="201">
        <f>'IS 2025'!O60</f>
        <v>572599.18699999992</v>
      </c>
      <c r="U57" s="201">
        <f>'IS 2025'!P60</f>
        <v>561956.33799999999</v>
      </c>
      <c r="V57" s="201">
        <f>'IS 2025'!Q60</f>
        <v>565293.73300000001</v>
      </c>
    </row>
    <row r="58" spans="2:22" x14ac:dyDescent="0.3">
      <c r="B58" t="s">
        <v>22</v>
      </c>
      <c r="E58" s="2">
        <f>'Statements Summary 2024'!V57</f>
        <v>0.95348966436985994</v>
      </c>
      <c r="F58" s="2">
        <f t="shared" si="1"/>
        <v>0.96430513250077254</v>
      </c>
      <c r="G58" s="2">
        <f>'Statements Summary 2026'!V58</f>
        <v>0.99709087062308266</v>
      </c>
      <c r="H58" s="2">
        <f>'Statements Summary 2027'!V58</f>
        <v>0.9414338765521435</v>
      </c>
      <c r="I58" s="2">
        <f>'Statements Summary 2028'!V58</f>
        <v>0.94261609035061833</v>
      </c>
      <c r="K58" s="2">
        <f>K57/K45</f>
        <v>0.96168096341833476</v>
      </c>
      <c r="L58" s="2">
        <f t="shared" ref="L58:V58" si="10">L57/L45</f>
        <v>0.96220904295178766</v>
      </c>
      <c r="M58" s="2">
        <f t="shared" si="10"/>
        <v>0.96259181470362321</v>
      </c>
      <c r="N58" s="2">
        <f t="shared" si="10"/>
        <v>0.96295937150205035</v>
      </c>
      <c r="O58" s="2">
        <f t="shared" si="10"/>
        <v>0.96280710057081587</v>
      </c>
      <c r="P58" s="2">
        <f t="shared" si="10"/>
        <v>0.96304193100193269</v>
      </c>
      <c r="Q58" s="2">
        <f t="shared" si="10"/>
        <v>0.96379917269527071</v>
      </c>
      <c r="R58" s="2">
        <f t="shared" si="10"/>
        <v>0.96362019534006149</v>
      </c>
      <c r="S58" s="2">
        <f t="shared" si="10"/>
        <v>0.96462304774507968</v>
      </c>
      <c r="T58" s="2">
        <f t="shared" si="10"/>
        <v>0.96474448647869504</v>
      </c>
      <c r="U58" s="2">
        <f t="shared" si="10"/>
        <v>0.96410075492929914</v>
      </c>
      <c r="V58" s="2">
        <f t="shared" si="10"/>
        <v>0.96430513250077254</v>
      </c>
    </row>
    <row r="59" spans="2:22" x14ac:dyDescent="0.3">
      <c r="B59" t="s">
        <v>11</v>
      </c>
      <c r="E59" s="1">
        <f>'Statements Summary 2024'!V58</f>
        <v>-1711</v>
      </c>
      <c r="F59" s="1">
        <f t="shared" si="1"/>
        <v>-1850</v>
      </c>
      <c r="G59" s="1">
        <f>'Statements Summary 2026'!V59</f>
        <v>-1911</v>
      </c>
      <c r="H59" s="1">
        <f>'Statements Summary 2027'!V59</f>
        <v>-1756</v>
      </c>
      <c r="I59" s="1">
        <f>'Statements Summary 2028'!V59</f>
        <v>-1800</v>
      </c>
      <c r="K59">
        <f>'IS 2025'!F61</f>
        <v>-1450</v>
      </c>
      <c r="L59">
        <f>'IS 2025'!G61</f>
        <v>-1450</v>
      </c>
      <c r="M59">
        <f>'IS 2025'!H61</f>
        <v>-1450</v>
      </c>
      <c r="N59">
        <f>'IS 2025'!I61</f>
        <v>-1450</v>
      </c>
      <c r="O59">
        <f>'IS 2025'!J61</f>
        <v>-1450</v>
      </c>
      <c r="P59">
        <f>'IS 2025'!K61</f>
        <v>-1450</v>
      </c>
      <c r="Q59">
        <f>'IS 2025'!L61</f>
        <v>-1450</v>
      </c>
      <c r="R59">
        <f>'IS 2025'!M61</f>
        <v>-1450</v>
      </c>
      <c r="S59">
        <f>'IS 2025'!N61</f>
        <v>-1450</v>
      </c>
      <c r="T59">
        <f>'IS 2025'!O61</f>
        <v>-1450</v>
      </c>
      <c r="U59">
        <f>'IS 2025'!P61</f>
        <v>-1450</v>
      </c>
      <c r="V59">
        <f>'IS 2025'!Q61</f>
        <v>-1850</v>
      </c>
    </row>
    <row r="60" spans="2:22" x14ac:dyDescent="0.3">
      <c r="B60" t="s">
        <v>12</v>
      </c>
      <c r="E60" s="1">
        <f>'Statements Summary 2024'!V59</f>
        <v>427264</v>
      </c>
      <c r="F60" s="1">
        <f t="shared" si="1"/>
        <v>563443.73300000001</v>
      </c>
      <c r="G60" s="1">
        <f>'Statements Summary 2026'!V60</f>
        <v>661696</v>
      </c>
      <c r="H60" s="1">
        <f>'Statements Summary 2027'!V60</f>
        <v>934966</v>
      </c>
      <c r="I60" s="1">
        <f>'Statements Summary 2028'!V60</f>
        <v>1052337</v>
      </c>
      <c r="K60" s="1">
        <f>'IS 2025'!F62</f>
        <v>523698.22800000012</v>
      </c>
      <c r="L60" s="1">
        <f>'IS 2025'!G62</f>
        <v>531328.89199999999</v>
      </c>
      <c r="M60" s="1">
        <f>'IS 2025'!H62</f>
        <v>536994.55599999998</v>
      </c>
      <c r="N60" s="1">
        <f>'IS 2025'!I62</f>
        <v>542545.22</v>
      </c>
      <c r="O60" s="1">
        <f>'IS 2025'!J62</f>
        <v>540232.38800000004</v>
      </c>
      <c r="P60" s="1">
        <f>'IS 2025'!K62</f>
        <v>543807.17799999996</v>
      </c>
      <c r="Q60" s="1">
        <f>'IS 2025'!L62</f>
        <v>555650.46400000004</v>
      </c>
      <c r="R60" s="1">
        <f>'IS 2025'!M62</f>
        <v>552806.75799999991</v>
      </c>
      <c r="S60" s="1">
        <f>'IS 2025'!N62</f>
        <v>569111.79200000002</v>
      </c>
      <c r="T60" s="1">
        <f>'IS 2025'!O62</f>
        <v>571149.18699999992</v>
      </c>
      <c r="U60" s="1">
        <f>'IS 2025'!P62</f>
        <v>560506.33799999999</v>
      </c>
      <c r="V60" s="1">
        <f>'IS 2025'!Q62</f>
        <v>563443.73300000001</v>
      </c>
    </row>
    <row r="61" spans="2:22" x14ac:dyDescent="0.3">
      <c r="B61" t="s">
        <v>13</v>
      </c>
      <c r="E61" s="1">
        <f>'Statements Summary 2024'!V60</f>
        <v>-73000.400000000009</v>
      </c>
      <c r="F61" s="1">
        <f t="shared" si="1"/>
        <v>-32637.200000000001</v>
      </c>
      <c r="G61" s="1">
        <f>'Statements Summary 2026'!V61</f>
        <v>0</v>
      </c>
      <c r="H61" s="1">
        <f>'Statements Summary 2027'!V61</f>
        <v>0</v>
      </c>
      <c r="I61" s="1">
        <f>'Statements Summary 2028'!V61</f>
        <v>0</v>
      </c>
      <c r="K61" s="3">
        <f>'IS 2025'!F63</f>
        <v>-69636.800000000003</v>
      </c>
      <c r="L61" s="3">
        <f>'IS 2025'!G63</f>
        <v>-66273.2</v>
      </c>
      <c r="M61" s="3">
        <f>'IS 2025'!H63</f>
        <v>-62909.600000000006</v>
      </c>
      <c r="N61" s="3">
        <f>'IS 2025'!I63</f>
        <v>-59546</v>
      </c>
      <c r="O61" s="3">
        <f>'IS 2025'!J63</f>
        <v>-56182.400000000001</v>
      </c>
      <c r="P61" s="3">
        <f>'IS 2025'!K63</f>
        <v>-52818.8</v>
      </c>
      <c r="Q61" s="3">
        <f>'IS 2025'!L63</f>
        <v>-49455.200000000004</v>
      </c>
      <c r="R61" s="3">
        <f>'IS 2025'!M63</f>
        <v>-46091.600000000006</v>
      </c>
      <c r="S61" s="3">
        <f>'IS 2025'!N63</f>
        <v>-42728</v>
      </c>
      <c r="T61" s="3">
        <f>'IS 2025'!O63</f>
        <v>-39364.400000000001</v>
      </c>
      <c r="U61" s="3">
        <f>'IS 2025'!P63</f>
        <v>-36000.800000000003</v>
      </c>
      <c r="V61" s="3">
        <f>'IS 2025'!Q63</f>
        <v>-32637.200000000001</v>
      </c>
    </row>
    <row r="62" spans="2:22" x14ac:dyDescent="0.3">
      <c r="B62" t="s">
        <v>14</v>
      </c>
      <c r="E62" s="1">
        <f>'Statements Summary 2024'!V61</f>
        <v>428975</v>
      </c>
      <c r="F62" s="1">
        <f t="shared" si="1"/>
        <v>565293.73300000001</v>
      </c>
      <c r="G62" s="1">
        <f>'Statements Summary 2026'!V62</f>
        <v>659785</v>
      </c>
      <c r="H62" s="1">
        <f>'Statements Summary 2027'!V62</f>
        <v>936722</v>
      </c>
      <c r="I62" s="1">
        <f>'Statements Summary 2028'!V62</f>
        <v>1054137</v>
      </c>
      <c r="K62" s="1">
        <f>'IS 2025'!F64</f>
        <v>525148.22800000012</v>
      </c>
      <c r="L62" s="1">
        <f>'IS 2025'!G64</f>
        <v>532778.89199999999</v>
      </c>
      <c r="M62" s="1">
        <f>'IS 2025'!H64</f>
        <v>538444.55599999998</v>
      </c>
      <c r="N62" s="1">
        <f>'IS 2025'!I64</f>
        <v>543995.22</v>
      </c>
      <c r="O62" s="1">
        <f>'IS 2025'!J64</f>
        <v>541682.38800000004</v>
      </c>
      <c r="P62" s="1">
        <f>'IS 2025'!K64</f>
        <v>545257.17799999996</v>
      </c>
      <c r="Q62" s="1">
        <f>'IS 2025'!L64</f>
        <v>557100.46400000004</v>
      </c>
      <c r="R62" s="1">
        <f>'IS 2025'!M64</f>
        <v>554256.75799999991</v>
      </c>
      <c r="S62" s="1">
        <f>'IS 2025'!N64</f>
        <v>570561.79200000002</v>
      </c>
      <c r="T62" s="1">
        <f>'IS 2025'!O64</f>
        <v>572599.18699999992</v>
      </c>
      <c r="U62" s="1">
        <f>'IS 2025'!P64</f>
        <v>561956.33799999999</v>
      </c>
      <c r="V62" s="1">
        <f>'IS 2025'!Q64</f>
        <v>565293.73300000001</v>
      </c>
    </row>
    <row r="63" spans="2:22" x14ac:dyDescent="0.3">
      <c r="B63" t="s">
        <v>15</v>
      </c>
      <c r="E63" s="1">
        <f>'Statements Summary 2024'!V62</f>
        <v>-85795</v>
      </c>
      <c r="F63" s="1">
        <f t="shared" si="1"/>
        <v>-113058.74660000001</v>
      </c>
      <c r="G63" s="1">
        <f>'Statements Summary 2026'!V63</f>
        <v>-131957</v>
      </c>
      <c r="H63" s="1">
        <f>'Statements Summary 2027'!V63</f>
        <v>-187344.40000000002</v>
      </c>
      <c r="I63" s="1">
        <f>'Statements Summary 2028'!V63</f>
        <v>-187344.40000000002</v>
      </c>
      <c r="K63" s="1">
        <f>'IS 2025'!F65</f>
        <v>-105029.64560000003</v>
      </c>
      <c r="L63" s="1">
        <f>'IS 2025'!G65</f>
        <v>-106555.77840000001</v>
      </c>
      <c r="M63" s="1">
        <f>'IS 2025'!H65</f>
        <v>-107688.9112</v>
      </c>
      <c r="N63" s="1">
        <f>'IS 2025'!I65</f>
        <v>-108799.04399999999</v>
      </c>
      <c r="O63" s="1">
        <f>'IS 2025'!J65</f>
        <v>-108336.47760000001</v>
      </c>
      <c r="P63" s="1">
        <f>'IS 2025'!K65</f>
        <v>-109051.4356</v>
      </c>
      <c r="Q63" s="1">
        <f>'IS 2025'!L65</f>
        <v>-111420.09280000001</v>
      </c>
      <c r="R63" s="1">
        <f>'IS 2025'!M65</f>
        <v>-110851.35159999999</v>
      </c>
      <c r="S63" s="1">
        <f>'IS 2025'!N65</f>
        <v>-114112.35840000001</v>
      </c>
      <c r="T63" s="1">
        <f>'IS 2025'!O65</f>
        <v>-114519.83739999999</v>
      </c>
      <c r="U63" s="1">
        <f>'IS 2025'!P65</f>
        <v>-112391.26760000001</v>
      </c>
      <c r="V63" s="1">
        <f>'IS 2025'!Q65</f>
        <v>-113058.74660000001</v>
      </c>
    </row>
    <row r="64" spans="2:22" x14ac:dyDescent="0.3">
      <c r="B64" s="23" t="s">
        <v>16</v>
      </c>
      <c r="C64" s="23"/>
      <c r="D64" s="23"/>
      <c r="E64" s="201">
        <f>'Statements Summary 2024'!V63</f>
        <v>343180</v>
      </c>
      <c r="F64" s="201">
        <f t="shared" si="1"/>
        <v>452234.98639999999</v>
      </c>
      <c r="G64" s="201">
        <f>'Statements Summary 2026'!V64</f>
        <v>527828</v>
      </c>
      <c r="H64" s="201">
        <f>'Statements Summary 2027'!V64</f>
        <v>749377.6</v>
      </c>
      <c r="I64" s="201">
        <f>'Statements Summary 2028'!V64</f>
        <v>843309.6</v>
      </c>
      <c r="K64" s="201">
        <f>'IS 2025'!F66</f>
        <v>420118.58240000007</v>
      </c>
      <c r="L64" s="201">
        <f>'IS 2025'!G66</f>
        <v>426223.11359999998</v>
      </c>
      <c r="M64" s="201">
        <f>'IS 2025'!H66</f>
        <v>430755.64480000001</v>
      </c>
      <c r="N64" s="201">
        <f>'IS 2025'!I66</f>
        <v>435196.17599999998</v>
      </c>
      <c r="O64" s="201">
        <f>'IS 2025'!J66</f>
        <v>433345.91040000005</v>
      </c>
      <c r="P64" s="201">
        <f>'IS 2025'!K66</f>
        <v>436205.74239999999</v>
      </c>
      <c r="Q64" s="201">
        <f>'IS 2025'!L66</f>
        <v>445680.37120000005</v>
      </c>
      <c r="R64" s="201">
        <f>'IS 2025'!M66</f>
        <v>443405.40639999992</v>
      </c>
      <c r="S64" s="201">
        <f>'IS 2025'!N66</f>
        <v>456449.43359999999</v>
      </c>
      <c r="T64" s="201">
        <f>'IS 2025'!O66</f>
        <v>458079.34959999996</v>
      </c>
      <c r="U64" s="201">
        <f>'IS 2025'!P66</f>
        <v>449565.07039999997</v>
      </c>
      <c r="V64" s="201">
        <f>'IS 2025'!Q66</f>
        <v>452234.98639999999</v>
      </c>
    </row>
    <row r="65" spans="2:22" x14ac:dyDescent="0.3">
      <c r="B65" t="s">
        <v>17</v>
      </c>
      <c r="E65" s="2">
        <f>'Statements Summary 2024'!V64</f>
        <v>0.76279173149588797</v>
      </c>
      <c r="F65" s="2">
        <f t="shared" si="1"/>
        <v>0.77144410600061797</v>
      </c>
      <c r="G65" s="2">
        <f>'Statements Summary 2026'!V65</f>
        <v>0.79767269649846606</v>
      </c>
      <c r="H65" s="2">
        <f>'Statements Summary 2027'!V65</f>
        <v>0.7531471012417148</v>
      </c>
      <c r="I65" s="2">
        <f>'Statements Summary 2028'!V65</f>
        <v>0.75409287228049471</v>
      </c>
      <c r="K65" s="2">
        <f>K64/K45</f>
        <v>0.76934477073466778</v>
      </c>
      <c r="L65" s="2">
        <f t="shared" ref="L65:V65" si="11">L64/L45</f>
        <v>0.76976723436143013</v>
      </c>
      <c r="M65" s="2">
        <f t="shared" si="11"/>
        <v>0.77007345176289865</v>
      </c>
      <c r="N65" s="2">
        <f t="shared" si="11"/>
        <v>0.77036749720164022</v>
      </c>
      <c r="O65" s="2">
        <f t="shared" si="11"/>
        <v>0.77024568045665265</v>
      </c>
      <c r="P65" s="2">
        <f t="shared" si="11"/>
        <v>0.77043354480154624</v>
      </c>
      <c r="Q65" s="2">
        <f t="shared" si="11"/>
        <v>0.77103933815621661</v>
      </c>
      <c r="R65" s="2">
        <f t="shared" si="11"/>
        <v>0.77089615627204922</v>
      </c>
      <c r="S65" s="2">
        <f t="shared" si="11"/>
        <v>0.77169843819606365</v>
      </c>
      <c r="T65" s="2">
        <f t="shared" si="11"/>
        <v>0.7717955891829561</v>
      </c>
      <c r="U65" s="2">
        <f t="shared" si="11"/>
        <v>0.77128060394343934</v>
      </c>
      <c r="V65" s="2">
        <f t="shared" si="11"/>
        <v>0.77144410600061797</v>
      </c>
    </row>
    <row r="67" spans="2:22" x14ac:dyDescent="0.3">
      <c r="B67" s="181" t="s">
        <v>331</v>
      </c>
      <c r="C67" s="154"/>
      <c r="D67" s="154"/>
      <c r="E67" s="154"/>
      <c r="F67" s="154"/>
      <c r="G67" s="154"/>
      <c r="H67" s="154"/>
      <c r="I67" s="154"/>
      <c r="K67" s="387" t="s">
        <v>252</v>
      </c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</row>
    <row r="85" spans="2:22" x14ac:dyDescent="0.3">
      <c r="B85" s="181" t="s">
        <v>333</v>
      </c>
      <c r="C85" s="181"/>
      <c r="D85" s="181"/>
      <c r="E85" s="181"/>
      <c r="F85" s="154"/>
      <c r="G85" s="154"/>
      <c r="H85" s="154"/>
      <c r="I85" s="154"/>
      <c r="J85" s="154"/>
      <c r="K85" s="387" t="s">
        <v>253</v>
      </c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</row>
    <row r="87" spans="2:22" x14ac:dyDescent="0.3">
      <c r="B87" s="199" t="s">
        <v>27</v>
      </c>
      <c r="C87" s="199"/>
      <c r="D87" s="199"/>
      <c r="E87" s="200">
        <v>2024</v>
      </c>
      <c r="F87" s="200">
        <v>2025</v>
      </c>
      <c r="G87" s="200">
        <v>2026</v>
      </c>
      <c r="H87" s="200">
        <v>2027</v>
      </c>
      <c r="I87" s="200">
        <v>2028</v>
      </c>
      <c r="J87" s="199"/>
      <c r="K87" s="200" t="s">
        <v>32</v>
      </c>
      <c r="L87" s="200" t="s">
        <v>33</v>
      </c>
      <c r="M87" s="200" t="s">
        <v>34</v>
      </c>
      <c r="N87" s="200" t="s">
        <v>35</v>
      </c>
      <c r="O87" s="200" t="s">
        <v>36</v>
      </c>
      <c r="P87" s="200" t="s">
        <v>37</v>
      </c>
      <c r="Q87" s="200" t="s">
        <v>38</v>
      </c>
      <c r="R87" s="200" t="s">
        <v>39</v>
      </c>
      <c r="S87" s="200" t="s">
        <v>40</v>
      </c>
      <c r="T87" s="200" t="s">
        <v>41</v>
      </c>
      <c r="U87" s="200" t="s">
        <v>42</v>
      </c>
      <c r="V87" s="200" t="s">
        <v>43</v>
      </c>
    </row>
    <row r="88" spans="2:22" x14ac:dyDescent="0.3">
      <c r="B88" t="s">
        <v>55</v>
      </c>
      <c r="E88" s="211">
        <f>'Statements Summary 2024'!V86</f>
        <v>2624392.4</v>
      </c>
      <c r="F88" s="211">
        <f t="shared" ref="F88:F99" si="12">V88</f>
        <v>7339792.1871999996</v>
      </c>
      <c r="G88" s="211">
        <f>'Statements Summary 2026'!V88</f>
        <v>13149988.987199999</v>
      </c>
      <c r="H88" s="211">
        <f>'Statements Summary 2027'!V88</f>
        <v>22338154.987199992</v>
      </c>
      <c r="I88" s="211">
        <f>'Statements Summary 2028'!V88</f>
        <v>32696764.987199977</v>
      </c>
      <c r="K88" s="211">
        <f>'BS 2025'!F14</f>
        <v>2978356.1823999998</v>
      </c>
      <c r="L88" s="211">
        <f>'BS 2025'!G14</f>
        <v>3341788.0959999999</v>
      </c>
      <c r="M88" s="211">
        <f>'BS 2025'!H14</f>
        <v>3713116.1408000002</v>
      </c>
      <c r="N88" s="211">
        <f>'BS 2025'!I14</f>
        <v>4092248.3168000001</v>
      </c>
      <c r="O88" s="211">
        <f>'BS 2025'!J14</f>
        <v>4472893.8272000002</v>
      </c>
      <c r="P88" s="211">
        <f>'BS 2025'!K14</f>
        <v>4859762.7696000002</v>
      </c>
      <c r="Q88" s="211">
        <f>'BS 2025'!L14</f>
        <v>5259469.9408</v>
      </c>
      <c r="R88" s="211">
        <f>'BS 2025'!M14</f>
        <v>5660265.7472000001</v>
      </c>
      <c r="S88" s="211">
        <f>'BS 2025'!N14</f>
        <v>6077469.1808000002</v>
      </c>
      <c r="T88" s="211">
        <f>'BS 2025'!O14</f>
        <v>6499666.1304000001</v>
      </c>
      <c r="U88" s="211">
        <f>'BS 2025'!P14</f>
        <v>6916712.4007999999</v>
      </c>
      <c r="V88" s="211">
        <f>'BS 2025'!Q14</f>
        <v>7339792.1871999996</v>
      </c>
    </row>
    <row r="89" spans="2:22" x14ac:dyDescent="0.3">
      <c r="B89" t="s">
        <v>56</v>
      </c>
      <c r="E89" s="211">
        <f>'Statements Summary 2024'!V87</f>
        <v>470532</v>
      </c>
      <c r="F89" s="211">
        <f t="shared" si="12"/>
        <v>488332</v>
      </c>
      <c r="G89" s="211">
        <f>'Statements Summary 2026'!V89</f>
        <v>509481</v>
      </c>
      <c r="H89" s="211">
        <f>'Statements Summary 2027'!V89</f>
        <v>531018</v>
      </c>
      <c r="I89" s="211">
        <f>'Statements Summary 2028'!V89</f>
        <v>552400</v>
      </c>
      <c r="K89" s="211">
        <f>'BS 2025'!F19</f>
        <v>471982</v>
      </c>
      <c r="L89" s="211">
        <f>'BS 2025'!G19</f>
        <v>473432</v>
      </c>
      <c r="M89" s="211">
        <f>'BS 2025'!H19</f>
        <v>474882</v>
      </c>
      <c r="N89" s="211">
        <f>'BS 2025'!I19</f>
        <v>476332</v>
      </c>
      <c r="O89" s="211">
        <f>'BS 2025'!J19</f>
        <v>477782</v>
      </c>
      <c r="P89" s="211">
        <f>'BS 2025'!K19</f>
        <v>479232</v>
      </c>
      <c r="Q89" s="211">
        <f>'BS 2025'!L19</f>
        <v>480682</v>
      </c>
      <c r="R89" s="211">
        <f>'BS 2025'!M19</f>
        <v>482132</v>
      </c>
      <c r="S89" s="211">
        <f>'BS 2025'!N19</f>
        <v>483582</v>
      </c>
      <c r="T89" s="211">
        <f>'BS 2025'!O19</f>
        <v>485032</v>
      </c>
      <c r="U89" s="211">
        <f>'BS 2025'!P19</f>
        <v>486482</v>
      </c>
      <c r="V89" s="211">
        <f>'BS 2025'!Q19</f>
        <v>488332</v>
      </c>
    </row>
    <row r="90" spans="2:22" x14ac:dyDescent="0.3">
      <c r="B90" t="s">
        <v>57</v>
      </c>
      <c r="E90" s="211">
        <f>'Statements Summary 2024'!V88</f>
        <v>3094924.4</v>
      </c>
      <c r="F90" s="211">
        <f t="shared" si="12"/>
        <v>7828124.1871999996</v>
      </c>
      <c r="G90" s="211">
        <f>'Statements Summary 2026'!V90</f>
        <v>13659469.987199999</v>
      </c>
      <c r="H90" s="211">
        <f>'Statements Summary 2027'!V90</f>
        <v>22869172.987199992</v>
      </c>
      <c r="I90" s="211">
        <f>'Statements Summary 2028'!V90</f>
        <v>33249164.987199977</v>
      </c>
      <c r="K90" s="211">
        <f>'BS 2025'!F20</f>
        <v>3450338.1823999998</v>
      </c>
      <c r="L90" s="211">
        <f>'BS 2025'!G20</f>
        <v>3815220.0959999999</v>
      </c>
      <c r="M90" s="211">
        <f>'BS 2025'!H20</f>
        <v>4187998.1408000002</v>
      </c>
      <c r="N90" s="211">
        <f>'BS 2025'!I20</f>
        <v>4568580.3168000001</v>
      </c>
      <c r="O90" s="211">
        <f>'BS 2025'!J20</f>
        <v>4950675.8272000002</v>
      </c>
      <c r="P90" s="211">
        <f>'BS 2025'!K20</f>
        <v>5338994.7696000002</v>
      </c>
      <c r="Q90" s="211">
        <f>'BS 2025'!L20</f>
        <v>5740151.9408</v>
      </c>
      <c r="R90" s="211">
        <f>'BS 2025'!M20</f>
        <v>6142397.7472000001</v>
      </c>
      <c r="S90" s="211">
        <f>'BS 2025'!N20</f>
        <v>6561051.1808000002</v>
      </c>
      <c r="T90" s="211">
        <f>'BS 2025'!O20</f>
        <v>6984698.1304000001</v>
      </c>
      <c r="U90" s="211">
        <f>'BS 2025'!P20</f>
        <v>7403194.4007999999</v>
      </c>
      <c r="V90" s="211">
        <f>'BS 2025'!Q20</f>
        <v>7828124.1871999996</v>
      </c>
    </row>
    <row r="91" spans="2:22" x14ac:dyDescent="0.3">
      <c r="B91" t="s">
        <v>58</v>
      </c>
      <c r="E91" s="211">
        <f>'Statements Summary 2024'!V89</f>
        <v>-85795</v>
      </c>
      <c r="F91" s="211">
        <f t="shared" si="12"/>
        <v>-113058.74660000001</v>
      </c>
      <c r="G91" s="211">
        <f>'Statements Summary 2026'!V91</f>
        <v>-131957</v>
      </c>
      <c r="H91" s="211">
        <f>'Statements Summary 2027'!V91</f>
        <v>-187344.40000000002</v>
      </c>
      <c r="I91" s="211">
        <f>'Statements Summary 2028'!V91</f>
        <v>-210827.40000000002</v>
      </c>
      <c r="K91" s="211"/>
      <c r="L91" s="211">
        <f>'BS 2025'!G25</f>
        <v>-106555.77840000001</v>
      </c>
      <c r="M91" s="211">
        <f>'BS 2025'!H25</f>
        <v>-107688.9112</v>
      </c>
      <c r="N91" s="211">
        <f>'BS 2025'!I25</f>
        <v>-108799.04399999999</v>
      </c>
      <c r="O91" s="211">
        <f>'BS 2025'!J25</f>
        <v>-108336.47760000001</v>
      </c>
      <c r="P91" s="211">
        <f>'BS 2025'!K25</f>
        <v>-109051.4356</v>
      </c>
      <c r="Q91" s="211">
        <f>'BS 2025'!L25</f>
        <v>-111420.09280000001</v>
      </c>
      <c r="R91" s="211">
        <f>'BS 2025'!M25</f>
        <v>-110851.35159999999</v>
      </c>
      <c r="S91" s="211">
        <f>'BS 2025'!N25</f>
        <v>-114112.35840000001</v>
      </c>
      <c r="T91" s="211">
        <f>'BS 2025'!O25</f>
        <v>-114519.83739999999</v>
      </c>
      <c r="U91" s="211">
        <f>'BS 2025'!P25</f>
        <v>-112391.26760000001</v>
      </c>
      <c r="V91" s="211">
        <f>'BS 2025'!Q25</f>
        <v>-113058.74660000001</v>
      </c>
    </row>
    <row r="92" spans="2:22" x14ac:dyDescent="0.3">
      <c r="B92" t="s">
        <v>201</v>
      </c>
      <c r="E92" s="211">
        <f>'Statements Summary 2024'!V90</f>
        <v>-365002</v>
      </c>
      <c r="F92" s="211">
        <f t="shared" si="12"/>
        <v>-163186</v>
      </c>
      <c r="G92" s="211">
        <f>'Statements Summary 2026'!V92</f>
        <v>0</v>
      </c>
      <c r="H92" s="211">
        <f>'Statements Summary 2027'!V92</f>
        <v>0</v>
      </c>
      <c r="I92" s="211">
        <f>'Statements Summary 2028'!V92</f>
        <v>0</v>
      </c>
      <c r="K92" s="211">
        <f>'BS 2025'!F27</f>
        <v>-348184</v>
      </c>
      <c r="L92" s="211">
        <f>'BS 2025'!G27</f>
        <v>-331366</v>
      </c>
      <c r="M92" s="211">
        <f>'BS 2025'!H27</f>
        <v>-314548</v>
      </c>
      <c r="N92" s="211">
        <f>'BS 2025'!I27</f>
        <v>-297730</v>
      </c>
      <c r="O92" s="211">
        <f>'BS 2025'!J27</f>
        <v>-280912</v>
      </c>
      <c r="P92" s="211">
        <f>'BS 2025'!K27</f>
        <v>-264094</v>
      </c>
      <c r="Q92" s="211">
        <f>'BS 2025'!L27</f>
        <v>-247276</v>
      </c>
      <c r="R92" s="211">
        <f>'BS 2025'!M27</f>
        <v>-230458</v>
      </c>
      <c r="S92" s="211">
        <f>'BS 2025'!N27</f>
        <v>-213640</v>
      </c>
      <c r="T92" s="211">
        <f>'BS 2025'!O27</f>
        <v>-196822</v>
      </c>
      <c r="U92" s="211">
        <f>'BS 2025'!P27</f>
        <v>-180004</v>
      </c>
      <c r="V92" s="211">
        <f>'BS 2025'!Q27</f>
        <v>-163186</v>
      </c>
    </row>
    <row r="93" spans="2:22" x14ac:dyDescent="0.3">
      <c r="B93" t="s">
        <v>60</v>
      </c>
      <c r="E93" s="211">
        <f>'Statements Summary 2024'!V91</f>
        <v>-450797</v>
      </c>
      <c r="F93" s="211">
        <f t="shared" si="12"/>
        <v>-276244.74660000001</v>
      </c>
      <c r="G93" s="211">
        <f>'Statements Summary 2026'!V93</f>
        <v>-131957</v>
      </c>
      <c r="H93" s="211">
        <f>'Statements Summary 2027'!V93</f>
        <v>-187344.40000000002</v>
      </c>
      <c r="I93" s="211">
        <f>'Statements Summary 2028'!V93</f>
        <v>-210827.40000000002</v>
      </c>
      <c r="K93" s="211">
        <f>'BS 2025'!F32</f>
        <v>-453213.64560000005</v>
      </c>
      <c r="L93" s="211">
        <f>'BS 2025'!G32</f>
        <v>-437921.77840000001</v>
      </c>
      <c r="M93" s="211">
        <f>'BS 2025'!H32</f>
        <v>-422236.91119999997</v>
      </c>
      <c r="N93" s="211">
        <f>'BS 2025'!I32</f>
        <v>-406529.04399999999</v>
      </c>
      <c r="O93" s="211">
        <f>'BS 2025'!J32</f>
        <v>-389248.47759999998</v>
      </c>
      <c r="P93" s="211">
        <f>'BS 2025'!K32</f>
        <v>-373145.43559999997</v>
      </c>
      <c r="Q93" s="211">
        <f>'BS 2025'!L32</f>
        <v>-358696.09279999998</v>
      </c>
      <c r="R93" s="211">
        <f>'BS 2025'!M32</f>
        <v>-341309.35159999999</v>
      </c>
      <c r="S93" s="211">
        <f>'BS 2025'!N32</f>
        <v>-327752.35840000003</v>
      </c>
      <c r="T93" s="211">
        <f>'BS 2025'!O32</f>
        <v>-311341.83739999996</v>
      </c>
      <c r="U93" s="211">
        <f>'BS 2025'!P32</f>
        <v>-292395.26760000002</v>
      </c>
      <c r="V93" s="211">
        <f>'BS 2025'!Q32</f>
        <v>-276244.74660000001</v>
      </c>
    </row>
    <row r="94" spans="2:22" x14ac:dyDescent="0.3">
      <c r="B94" t="s">
        <v>61</v>
      </c>
      <c r="E94" s="211">
        <f>'Statements Summary 2024'!V92</f>
        <v>2644127.4</v>
      </c>
      <c r="F94" s="211">
        <f t="shared" si="12"/>
        <v>7551879.4405999994</v>
      </c>
      <c r="G94" s="211">
        <f>'Statements Summary 2026'!V94</f>
        <v>13527512.987199999</v>
      </c>
      <c r="H94" s="211">
        <f>'Statements Summary 2027'!V94</f>
        <v>22681828.587199993</v>
      </c>
      <c r="I94" s="211">
        <f>'Statements Summary 2028'!V94</f>
        <v>33038337.587199979</v>
      </c>
      <c r="K94" s="211">
        <f>'BS 2025'!F33</f>
        <v>2997124.5367999999</v>
      </c>
      <c r="L94" s="211">
        <f>'BS 2025'!G33</f>
        <v>3377298.3175999997</v>
      </c>
      <c r="M94" s="211">
        <f>'BS 2025'!H33</f>
        <v>3765761.2296000002</v>
      </c>
      <c r="N94" s="211">
        <f>'BS 2025'!I33</f>
        <v>4162051.2728000004</v>
      </c>
      <c r="O94" s="211">
        <f>'BS 2025'!J33</f>
        <v>4561427.3496000003</v>
      </c>
      <c r="P94" s="211">
        <f>'BS 2025'!K33</f>
        <v>4965849.3340000007</v>
      </c>
      <c r="Q94" s="211">
        <f>'BS 2025'!L33</f>
        <v>5381455.8480000002</v>
      </c>
      <c r="R94" s="211">
        <f>'BS 2025'!M33</f>
        <v>5801088.3956000004</v>
      </c>
      <c r="S94" s="211">
        <f>'BS 2025'!N33</f>
        <v>6233298.8223999999</v>
      </c>
      <c r="T94" s="211">
        <f>'BS 2025'!O33</f>
        <v>6673356.2930000005</v>
      </c>
      <c r="U94" s="211">
        <f>'BS 2025'!P33</f>
        <v>7110799.1332</v>
      </c>
      <c r="V94" s="211">
        <f>'BS 2025'!Q33</f>
        <v>7551879.4405999994</v>
      </c>
    </row>
    <row r="95" spans="2:22" x14ac:dyDescent="0.3">
      <c r="B95" t="s">
        <v>62</v>
      </c>
      <c r="E95" s="211">
        <f>'Statements Summary 2024'!V93</f>
        <v>2624392.4</v>
      </c>
      <c r="F95" s="211">
        <f t="shared" si="12"/>
        <v>7339792.1871999996</v>
      </c>
      <c r="G95" s="211">
        <f>'Statements Summary 2026'!V95</f>
        <v>13149988.987199999</v>
      </c>
      <c r="H95" s="211">
        <f>'Statements Summary 2027'!V95</f>
        <v>22338154.987199992</v>
      </c>
      <c r="I95" s="211">
        <f>'Statements Summary 2028'!V95</f>
        <v>32696764.987199977</v>
      </c>
      <c r="K95" s="211">
        <f>'BS 2025'!F14</f>
        <v>2978356.1823999998</v>
      </c>
      <c r="L95" s="211">
        <f>'BS 2025'!G14</f>
        <v>3341788.0959999999</v>
      </c>
      <c r="M95" s="211">
        <f>'BS 2025'!H14</f>
        <v>3713116.1408000002</v>
      </c>
      <c r="N95" s="211">
        <f>'BS 2025'!I14</f>
        <v>4092248.3168000001</v>
      </c>
      <c r="O95" s="211">
        <f>'BS 2025'!J14</f>
        <v>4472893.8272000002</v>
      </c>
      <c r="P95" s="211">
        <f>'BS 2025'!K14</f>
        <v>4859762.7696000002</v>
      </c>
      <c r="Q95" s="211">
        <f>'BS 2025'!L14</f>
        <v>5259469.9408</v>
      </c>
      <c r="R95" s="211">
        <f>'BS 2025'!M14</f>
        <v>5660265.7472000001</v>
      </c>
      <c r="S95" s="211">
        <f>'BS 2025'!N14</f>
        <v>6077469.1808000002</v>
      </c>
      <c r="T95" s="211">
        <f>'BS 2025'!O14</f>
        <v>6499666.1304000001</v>
      </c>
      <c r="U95" s="211">
        <f>'BS 2025'!P14</f>
        <v>6916712.4007999999</v>
      </c>
      <c r="V95" s="211">
        <f>'BS 2025'!Q14</f>
        <v>7339792.1871999996</v>
      </c>
    </row>
    <row r="96" spans="2:22" x14ac:dyDescent="0.3">
      <c r="B96" t="s">
        <v>63</v>
      </c>
      <c r="E96" s="211" t="str">
        <f>'Statements Summary 2024'!V94</f>
        <v>-</v>
      </c>
      <c r="F96" s="211" t="str">
        <f t="shared" si="12"/>
        <v>-</v>
      </c>
      <c r="G96" s="211" t="str">
        <f>'Statements Summary 2026'!V96</f>
        <v>-</v>
      </c>
      <c r="H96" s="211" t="str">
        <f>'Statements Summary 2027'!V96</f>
        <v>-</v>
      </c>
      <c r="I96" s="211" t="str">
        <f>'Statements Summary 2028'!V96</f>
        <v>-</v>
      </c>
      <c r="K96" s="211" t="s">
        <v>195</v>
      </c>
      <c r="L96" s="211" t="s">
        <v>195</v>
      </c>
      <c r="M96" s="211" t="s">
        <v>195</v>
      </c>
      <c r="N96" s="211" t="s">
        <v>195</v>
      </c>
      <c r="O96" s="211" t="s">
        <v>195</v>
      </c>
      <c r="P96" s="211" t="s">
        <v>195</v>
      </c>
      <c r="Q96" s="211" t="s">
        <v>195</v>
      </c>
      <c r="R96" s="211" t="s">
        <v>195</v>
      </c>
      <c r="S96" s="211" t="s">
        <v>195</v>
      </c>
      <c r="T96" s="211" t="s">
        <v>195</v>
      </c>
      <c r="U96" s="211" t="s">
        <v>195</v>
      </c>
      <c r="V96" s="211" t="s">
        <v>195</v>
      </c>
    </row>
    <row r="97" spans="2:22" x14ac:dyDescent="0.3">
      <c r="B97" t="s">
        <v>64</v>
      </c>
      <c r="E97" s="211">
        <f>'Statements Summary 2024'!V95</f>
        <v>0</v>
      </c>
      <c r="F97" s="211">
        <f t="shared" si="12"/>
        <v>0</v>
      </c>
      <c r="G97" s="211">
        <f>'Statements Summary 2026'!V97</f>
        <v>0</v>
      </c>
      <c r="H97" s="211">
        <f>'Statements Summary 2027'!V97</f>
        <v>0</v>
      </c>
      <c r="I97" s="211">
        <f>'Statements Summary 2028'!V97</f>
        <v>0</v>
      </c>
      <c r="K97" s="211" t="s">
        <v>195</v>
      </c>
      <c r="L97" s="211" t="s">
        <v>195</v>
      </c>
      <c r="M97" s="211" t="s">
        <v>195</v>
      </c>
      <c r="N97" s="211" t="s">
        <v>195</v>
      </c>
      <c r="O97" s="211" t="s">
        <v>195</v>
      </c>
      <c r="P97" s="211" t="s">
        <v>195</v>
      </c>
      <c r="Q97" s="211" t="s">
        <v>195</v>
      </c>
      <c r="R97" s="211" t="s">
        <v>195</v>
      </c>
      <c r="S97" s="211" t="s">
        <v>195</v>
      </c>
      <c r="T97" s="211" t="s">
        <v>195</v>
      </c>
      <c r="U97" s="211" t="s">
        <v>195</v>
      </c>
      <c r="V97" s="211"/>
    </row>
    <row r="98" spans="2:22" x14ac:dyDescent="0.3">
      <c r="B98" t="s">
        <v>65</v>
      </c>
      <c r="E98" s="211">
        <f>'Statements Summary 2024'!V96</f>
        <v>2644127.4</v>
      </c>
      <c r="F98" s="211">
        <f t="shared" si="12"/>
        <v>7551879.4405999994</v>
      </c>
      <c r="G98" s="211">
        <f>'Statements Summary 2026'!V98</f>
        <v>13527512.987199999</v>
      </c>
      <c r="H98" s="211">
        <f>'Statements Summary 2027'!V98</f>
        <v>22681828.587199993</v>
      </c>
      <c r="I98" s="211">
        <f>'Statements Summary 2028'!V98</f>
        <v>33038337.587199979</v>
      </c>
      <c r="K98" s="211">
        <f>K94</f>
        <v>2997124.5367999999</v>
      </c>
      <c r="L98" s="211">
        <f t="shared" ref="L98:V98" si="13">L94</f>
        <v>3377298.3175999997</v>
      </c>
      <c r="M98" s="211">
        <f t="shared" si="13"/>
        <v>3765761.2296000002</v>
      </c>
      <c r="N98" s="211">
        <f t="shared" si="13"/>
        <v>4162051.2728000004</v>
      </c>
      <c r="O98" s="211">
        <f t="shared" si="13"/>
        <v>4561427.3496000003</v>
      </c>
      <c r="P98" s="211">
        <f t="shared" si="13"/>
        <v>4965849.3340000007</v>
      </c>
      <c r="Q98" s="211">
        <f t="shared" si="13"/>
        <v>5381455.8480000002</v>
      </c>
      <c r="R98" s="211">
        <f t="shared" si="13"/>
        <v>5801088.3956000004</v>
      </c>
      <c r="S98" s="211">
        <f t="shared" si="13"/>
        <v>6233298.8223999999</v>
      </c>
      <c r="T98" s="211">
        <f t="shared" si="13"/>
        <v>6673356.2930000005</v>
      </c>
      <c r="U98" s="211">
        <f t="shared" si="13"/>
        <v>7110799.1332</v>
      </c>
      <c r="V98" s="211">
        <f t="shared" si="13"/>
        <v>7551879.4405999994</v>
      </c>
    </row>
    <row r="99" spans="2:22" x14ac:dyDescent="0.3">
      <c r="B99" t="s">
        <v>66</v>
      </c>
      <c r="E99" s="211">
        <f>'Statements Summary 2024'!V97</f>
        <v>2644127.4</v>
      </c>
      <c r="F99" s="211">
        <f t="shared" si="12"/>
        <v>7551879.4405999994</v>
      </c>
      <c r="G99" s="211">
        <f>'Statements Summary 2026'!V99</f>
        <v>13527512.987199999</v>
      </c>
      <c r="H99" s="211">
        <f>'Statements Summary 2027'!V99</f>
        <v>22681828.587199993</v>
      </c>
      <c r="I99" s="211">
        <f>'Statements Summary 2028'!V99</f>
        <v>33038337.587199979</v>
      </c>
      <c r="K99" s="211">
        <f>K98</f>
        <v>2997124.5367999999</v>
      </c>
      <c r="L99" s="211">
        <f t="shared" ref="L99:V99" si="14">L98</f>
        <v>3377298.3175999997</v>
      </c>
      <c r="M99" s="211">
        <f t="shared" si="14"/>
        <v>3765761.2296000002</v>
      </c>
      <c r="N99" s="211">
        <f t="shared" si="14"/>
        <v>4162051.2728000004</v>
      </c>
      <c r="O99" s="211">
        <f t="shared" si="14"/>
        <v>4561427.3496000003</v>
      </c>
      <c r="P99" s="211">
        <f t="shared" si="14"/>
        <v>4965849.3340000007</v>
      </c>
      <c r="Q99" s="211">
        <f t="shared" si="14"/>
        <v>5381455.8480000002</v>
      </c>
      <c r="R99" s="211">
        <f t="shared" si="14"/>
        <v>5801088.3956000004</v>
      </c>
      <c r="S99" s="211">
        <f t="shared" si="14"/>
        <v>6233298.8223999999</v>
      </c>
      <c r="T99" s="211">
        <f t="shared" si="14"/>
        <v>6673356.2930000005</v>
      </c>
      <c r="U99" s="211">
        <f t="shared" si="14"/>
        <v>7110799.1332</v>
      </c>
      <c r="V99" s="211">
        <f t="shared" si="14"/>
        <v>7551879.4405999994</v>
      </c>
    </row>
    <row r="101" spans="2:22" x14ac:dyDescent="0.3">
      <c r="B101" s="181" t="s">
        <v>333</v>
      </c>
      <c r="C101" s="181"/>
      <c r="D101" s="181"/>
      <c r="E101" s="181"/>
      <c r="F101" s="154"/>
      <c r="G101" s="154"/>
      <c r="H101" s="154"/>
      <c r="I101" s="154"/>
      <c r="K101" s="387" t="s">
        <v>253</v>
      </c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387"/>
    </row>
  </sheetData>
  <mergeCells count="6">
    <mergeCell ref="K101:V101"/>
    <mergeCell ref="K19:V19"/>
    <mergeCell ref="K2:V2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BA3F-3498-49FA-B99A-BCBC5FFA158F}">
  <dimension ref="B2:W63"/>
  <sheetViews>
    <sheetView showGridLines="0" zoomScale="95" zoomScaleNormal="95" workbookViewId="0">
      <selection activeCell="B25" sqref="B25:B37"/>
    </sheetView>
  </sheetViews>
  <sheetFormatPr defaultRowHeight="14.4" x14ac:dyDescent="0.3"/>
  <cols>
    <col min="1" max="1" width="1.77734375" customWidth="1"/>
    <col min="2" max="2" width="24.5546875" customWidth="1"/>
    <col min="3" max="3" width="7.21875" customWidth="1"/>
    <col min="4" max="4" width="6.6640625" customWidth="1"/>
    <col min="5" max="5" width="13.2187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248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49"/>
      <c r="C4" s="149"/>
      <c r="D4" s="149"/>
      <c r="E4" s="149"/>
      <c r="F4" s="216">
        <v>2026</v>
      </c>
      <c r="G4" s="216">
        <v>2026</v>
      </c>
      <c r="H4" s="216">
        <v>2026</v>
      </c>
      <c r="I4" s="216">
        <v>2026</v>
      </c>
      <c r="J4" s="216">
        <v>2026</v>
      </c>
      <c r="K4" s="216">
        <v>2026</v>
      </c>
      <c r="L4" s="216">
        <v>2026</v>
      </c>
      <c r="M4" s="216">
        <v>2026</v>
      </c>
      <c r="N4" s="216">
        <v>2026</v>
      </c>
      <c r="O4" s="216">
        <v>2026</v>
      </c>
      <c r="P4" s="216">
        <v>2026</v>
      </c>
      <c r="Q4" s="216">
        <v>2026</v>
      </c>
      <c r="R4" s="216"/>
      <c r="S4" s="216"/>
      <c r="T4" s="216"/>
      <c r="U4" s="154"/>
      <c r="V4" s="154"/>
      <c r="W4" s="149"/>
    </row>
    <row r="5" spans="2:23" ht="15" customHeight="1" x14ac:dyDescent="0.3">
      <c r="B5" s="324" t="s">
        <v>0</v>
      </c>
      <c r="C5" s="166"/>
      <c r="D5" s="166"/>
      <c r="E5" s="166"/>
      <c r="F5" s="325" t="s">
        <v>32</v>
      </c>
      <c r="G5" s="325" t="s">
        <v>33</v>
      </c>
      <c r="H5" s="325" t="s">
        <v>34</v>
      </c>
      <c r="I5" s="325" t="s">
        <v>35</v>
      </c>
      <c r="J5" s="325" t="s">
        <v>36</v>
      </c>
      <c r="K5" s="325" t="s">
        <v>37</v>
      </c>
      <c r="L5" s="325" t="s">
        <v>38</v>
      </c>
      <c r="M5" s="325" t="s">
        <v>39</v>
      </c>
      <c r="N5" s="325" t="s">
        <v>40</v>
      </c>
      <c r="O5" s="325" t="s">
        <v>41</v>
      </c>
      <c r="P5" s="325" t="s">
        <v>42</v>
      </c>
      <c r="Q5" s="325" t="s">
        <v>43</v>
      </c>
      <c r="R5" s="166"/>
      <c r="S5" s="166"/>
      <c r="T5" s="166"/>
      <c r="U5" s="166"/>
      <c r="V5" s="166"/>
      <c r="W5" s="166"/>
    </row>
    <row r="6" spans="2:23" ht="15" customHeight="1" x14ac:dyDescent="0.3">
      <c r="B6" s="4"/>
      <c r="F6" s="389" t="s">
        <v>243</v>
      </c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</row>
    <row r="7" spans="2:23" ht="14.4" customHeight="1" x14ac:dyDescent="0.3">
      <c r="B7" s="4" t="s">
        <v>242</v>
      </c>
      <c r="F7" s="220">
        <v>8000</v>
      </c>
      <c r="G7" s="220">
        <v>8100</v>
      </c>
      <c r="H7" s="220">
        <v>8200</v>
      </c>
      <c r="I7" s="220">
        <v>8300</v>
      </c>
      <c r="J7" s="220">
        <v>8400</v>
      </c>
      <c r="K7" s="220">
        <v>8500</v>
      </c>
      <c r="L7" s="220">
        <v>8600</v>
      </c>
      <c r="M7" s="220">
        <v>8700</v>
      </c>
      <c r="N7" s="220">
        <v>8800</v>
      </c>
      <c r="O7" s="220">
        <v>8850</v>
      </c>
      <c r="P7" s="220">
        <v>8900</v>
      </c>
      <c r="Q7" s="220">
        <v>8950</v>
      </c>
    </row>
    <row r="8" spans="2:23" x14ac:dyDescent="0.3">
      <c r="B8" s="4" t="s">
        <v>227</v>
      </c>
      <c r="F8" s="328">
        <v>3</v>
      </c>
      <c r="G8" s="328">
        <v>3</v>
      </c>
      <c r="H8" s="328">
        <v>3.5</v>
      </c>
      <c r="I8" s="328">
        <v>3.5</v>
      </c>
      <c r="J8" s="328">
        <v>3.5</v>
      </c>
      <c r="K8" s="328">
        <v>3.5</v>
      </c>
      <c r="L8" s="328">
        <v>3.5</v>
      </c>
      <c r="M8" s="328">
        <v>3.5</v>
      </c>
      <c r="N8" s="328">
        <v>3.5</v>
      </c>
      <c r="O8" s="328">
        <v>3.5</v>
      </c>
      <c r="P8" s="328">
        <v>3.5</v>
      </c>
      <c r="Q8" s="328">
        <v>3.5</v>
      </c>
    </row>
    <row r="9" spans="2:23" x14ac:dyDescent="0.3">
      <c r="B9" s="4" t="s">
        <v>230</v>
      </c>
      <c r="F9" s="318">
        <f t="shared" ref="F9:Q9" si="0">F7/F8</f>
        <v>2666.6666666666665</v>
      </c>
      <c r="G9" s="318">
        <f t="shared" si="0"/>
        <v>2700</v>
      </c>
      <c r="H9" s="318">
        <f t="shared" si="0"/>
        <v>2342.8571428571427</v>
      </c>
      <c r="I9" s="318">
        <f t="shared" si="0"/>
        <v>2371.4285714285716</v>
      </c>
      <c r="J9" s="318">
        <f t="shared" si="0"/>
        <v>2400</v>
      </c>
      <c r="K9" s="318">
        <f t="shared" si="0"/>
        <v>2428.5714285714284</v>
      </c>
      <c r="L9" s="318">
        <f t="shared" si="0"/>
        <v>2457.1428571428573</v>
      </c>
      <c r="M9" s="318">
        <f t="shared" si="0"/>
        <v>2485.7142857142858</v>
      </c>
      <c r="N9" s="318">
        <f t="shared" si="0"/>
        <v>2514.2857142857142</v>
      </c>
      <c r="O9" s="318">
        <f t="shared" si="0"/>
        <v>2528.5714285714284</v>
      </c>
      <c r="P9" s="318">
        <f t="shared" si="0"/>
        <v>2542.8571428571427</v>
      </c>
      <c r="Q9" s="318">
        <f t="shared" si="0"/>
        <v>2557.1428571428573</v>
      </c>
    </row>
    <row r="10" spans="2:23" x14ac:dyDescent="0.3">
      <c r="B10" s="4" t="s">
        <v>239</v>
      </c>
      <c r="F10" s="321">
        <v>1050</v>
      </c>
      <c r="G10" s="321">
        <v>1075</v>
      </c>
      <c r="H10" s="321">
        <v>1100</v>
      </c>
      <c r="I10" s="321">
        <v>1125</v>
      </c>
      <c r="J10" s="321">
        <v>1050</v>
      </c>
      <c r="K10" s="321">
        <v>1050</v>
      </c>
      <c r="L10" s="321">
        <v>1150</v>
      </c>
      <c r="M10" s="321">
        <v>1050</v>
      </c>
      <c r="N10" s="321">
        <v>1200</v>
      </c>
      <c r="O10" s="321">
        <v>1200</v>
      </c>
      <c r="P10" s="321">
        <v>1050</v>
      </c>
      <c r="Q10" s="321">
        <v>1050</v>
      </c>
    </row>
    <row r="11" spans="2:23" x14ac:dyDescent="0.3">
      <c r="B11" s="4" t="s">
        <v>240</v>
      </c>
      <c r="F11" s="326">
        <v>0.8</v>
      </c>
      <c r="G11" s="326">
        <v>0.8</v>
      </c>
      <c r="H11" s="326">
        <v>0.8</v>
      </c>
      <c r="I11" s="326">
        <v>0.85</v>
      </c>
      <c r="J11" s="326">
        <v>0.85</v>
      </c>
      <c r="K11" s="326">
        <v>0.85</v>
      </c>
      <c r="L11" s="326">
        <v>0.85</v>
      </c>
      <c r="M11" s="326">
        <v>0.85</v>
      </c>
      <c r="N11" s="326">
        <v>0.85</v>
      </c>
      <c r="O11" s="326">
        <v>0.85</v>
      </c>
      <c r="P11" s="326">
        <v>0.85</v>
      </c>
      <c r="Q11" s="326">
        <v>0.85</v>
      </c>
    </row>
    <row r="12" spans="2:23" x14ac:dyDescent="0.3">
      <c r="B12" s="4" t="s">
        <v>241</v>
      </c>
      <c r="F12" s="327">
        <f t="shared" ref="F12:Q12" si="1">F10*F11</f>
        <v>840</v>
      </c>
      <c r="G12" s="327">
        <f t="shared" si="1"/>
        <v>860</v>
      </c>
      <c r="H12" s="327">
        <f t="shared" si="1"/>
        <v>880</v>
      </c>
      <c r="I12" s="327">
        <f t="shared" si="1"/>
        <v>956.25</v>
      </c>
      <c r="J12" s="327">
        <f t="shared" si="1"/>
        <v>892.5</v>
      </c>
      <c r="K12" s="327">
        <f t="shared" si="1"/>
        <v>892.5</v>
      </c>
      <c r="L12" s="327">
        <f t="shared" si="1"/>
        <v>977.5</v>
      </c>
      <c r="M12" s="327">
        <f t="shared" si="1"/>
        <v>892.5</v>
      </c>
      <c r="N12" s="327">
        <f t="shared" si="1"/>
        <v>1020</v>
      </c>
      <c r="O12" s="327">
        <f t="shared" si="1"/>
        <v>1020</v>
      </c>
      <c r="P12" s="327">
        <f t="shared" si="1"/>
        <v>892.5</v>
      </c>
      <c r="Q12" s="327">
        <f t="shared" si="1"/>
        <v>892.5</v>
      </c>
    </row>
    <row r="13" spans="2:23" x14ac:dyDescent="0.3">
      <c r="B13" s="4" t="s">
        <v>228</v>
      </c>
      <c r="F13" s="321">
        <v>7500</v>
      </c>
      <c r="G13" s="321">
        <v>7750</v>
      </c>
      <c r="H13" s="321">
        <v>7750</v>
      </c>
      <c r="I13" s="321">
        <v>7750</v>
      </c>
      <c r="J13" s="321">
        <v>7750</v>
      </c>
      <c r="K13" s="321">
        <v>7750</v>
      </c>
      <c r="L13" s="321">
        <v>7750</v>
      </c>
      <c r="M13" s="321">
        <v>7750</v>
      </c>
      <c r="N13" s="321">
        <v>7750</v>
      </c>
      <c r="O13" s="321">
        <v>7750</v>
      </c>
      <c r="P13" s="321">
        <v>7750</v>
      </c>
      <c r="Q13" s="321">
        <v>7750</v>
      </c>
    </row>
    <row r="14" spans="2:23" x14ac:dyDescent="0.3">
      <c r="B14" s="4" t="s">
        <v>231</v>
      </c>
      <c r="F14" s="322">
        <v>600</v>
      </c>
      <c r="G14" s="322">
        <v>600</v>
      </c>
      <c r="H14" s="322">
        <v>600</v>
      </c>
      <c r="I14" s="322">
        <v>600</v>
      </c>
      <c r="J14" s="322">
        <v>600</v>
      </c>
      <c r="K14" s="322">
        <v>600</v>
      </c>
      <c r="L14" s="322">
        <v>600</v>
      </c>
      <c r="M14" s="322">
        <v>600</v>
      </c>
      <c r="N14" s="322">
        <v>600</v>
      </c>
      <c r="O14" s="322">
        <v>600</v>
      </c>
      <c r="P14" s="322">
        <v>600</v>
      </c>
      <c r="Q14" s="322">
        <v>600</v>
      </c>
    </row>
    <row r="15" spans="2:23" x14ac:dyDescent="0.3">
      <c r="B15" s="4" t="s">
        <v>229</v>
      </c>
      <c r="F15" s="319">
        <f t="shared" ref="F15:Q15" si="2">F9+F12+F14</f>
        <v>4106.6666666666661</v>
      </c>
      <c r="G15" s="319">
        <f t="shared" si="2"/>
        <v>4160</v>
      </c>
      <c r="H15" s="319">
        <f t="shared" si="2"/>
        <v>3822.8571428571427</v>
      </c>
      <c r="I15" s="319">
        <f t="shared" si="2"/>
        <v>3927.6785714285716</v>
      </c>
      <c r="J15" s="319">
        <f t="shared" si="2"/>
        <v>3892.5</v>
      </c>
      <c r="K15" s="319">
        <f t="shared" si="2"/>
        <v>3921.0714285714284</v>
      </c>
      <c r="L15" s="319">
        <f t="shared" si="2"/>
        <v>4034.6428571428573</v>
      </c>
      <c r="M15" s="319">
        <f t="shared" si="2"/>
        <v>3978.2142857142858</v>
      </c>
      <c r="N15" s="319">
        <f t="shared" si="2"/>
        <v>4134.2857142857138</v>
      </c>
      <c r="O15" s="319">
        <f t="shared" si="2"/>
        <v>4148.5714285714284</v>
      </c>
      <c r="P15" s="319">
        <f t="shared" si="2"/>
        <v>4035.3571428571427</v>
      </c>
      <c r="Q15" s="319">
        <f t="shared" si="2"/>
        <v>4049.6428571428573</v>
      </c>
    </row>
    <row r="16" spans="2:23" x14ac:dyDescent="0.3">
      <c r="B16" s="25"/>
      <c r="C16" s="329"/>
      <c r="D16" s="329"/>
      <c r="E16" s="329"/>
      <c r="F16" s="385" t="s">
        <v>232</v>
      </c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29"/>
      <c r="S16" s="329"/>
      <c r="T16" s="329"/>
      <c r="U16" s="329"/>
      <c r="V16" s="329"/>
    </row>
    <row r="17" spans="2:22" x14ac:dyDescent="0.3">
      <c r="B17" s="4" t="s">
        <v>233</v>
      </c>
      <c r="F17" s="323">
        <v>0.61</v>
      </c>
      <c r="G17" s="323">
        <v>0.61</v>
      </c>
      <c r="H17" s="323">
        <v>0.62</v>
      </c>
      <c r="I17" s="323">
        <v>0.62</v>
      </c>
      <c r="J17" s="323">
        <v>0.62</v>
      </c>
      <c r="K17" s="323">
        <v>0.62</v>
      </c>
      <c r="L17" s="323">
        <v>0.62</v>
      </c>
      <c r="M17" s="323">
        <v>0.62</v>
      </c>
      <c r="N17" s="323">
        <v>0.62</v>
      </c>
      <c r="O17" s="323">
        <v>0.62</v>
      </c>
      <c r="P17" s="323">
        <v>0.63</v>
      </c>
      <c r="Q17" s="323">
        <v>0.63</v>
      </c>
    </row>
    <row r="18" spans="2:22" x14ac:dyDescent="0.3">
      <c r="B18" s="4" t="s">
        <v>234</v>
      </c>
      <c r="F18" s="220">
        <f t="shared" ref="F18:Q18" si="3">F15*F17</f>
        <v>2505.0666666666662</v>
      </c>
      <c r="G18" s="220">
        <f t="shared" si="3"/>
        <v>2537.6</v>
      </c>
      <c r="H18" s="220">
        <f t="shared" si="3"/>
        <v>2370.1714285714284</v>
      </c>
      <c r="I18" s="220">
        <f t="shared" si="3"/>
        <v>2435.1607142857142</v>
      </c>
      <c r="J18" s="220">
        <f t="shared" si="3"/>
        <v>2413.35</v>
      </c>
      <c r="K18" s="220">
        <f t="shared" si="3"/>
        <v>2431.0642857142857</v>
      </c>
      <c r="L18" s="220">
        <f t="shared" si="3"/>
        <v>2501.4785714285717</v>
      </c>
      <c r="M18" s="220">
        <f t="shared" si="3"/>
        <v>2466.4928571428572</v>
      </c>
      <c r="N18" s="220">
        <f t="shared" si="3"/>
        <v>2563.2571428571423</v>
      </c>
      <c r="O18" s="220">
        <f t="shared" si="3"/>
        <v>2572.1142857142854</v>
      </c>
      <c r="P18" s="220">
        <f t="shared" si="3"/>
        <v>2542.2750000000001</v>
      </c>
      <c r="Q18" s="220">
        <f t="shared" si="3"/>
        <v>2551.2750000000001</v>
      </c>
    </row>
    <row r="19" spans="2:22" x14ac:dyDescent="0.3">
      <c r="B19" s="4" t="s">
        <v>236</v>
      </c>
      <c r="F19" s="323">
        <v>0.1</v>
      </c>
      <c r="G19" s="323">
        <v>0.1</v>
      </c>
      <c r="H19" s="323">
        <v>0.1</v>
      </c>
      <c r="I19" s="323">
        <v>0.1</v>
      </c>
      <c r="J19" s="323">
        <v>0.1</v>
      </c>
      <c r="K19" s="323">
        <v>0.1</v>
      </c>
      <c r="L19" s="323">
        <v>0.1</v>
      </c>
      <c r="M19" s="323">
        <v>0.1</v>
      </c>
      <c r="N19" s="323">
        <v>0.1</v>
      </c>
      <c r="O19" s="323">
        <v>0.1</v>
      </c>
      <c r="P19" s="323">
        <v>0.1</v>
      </c>
      <c r="Q19" s="323">
        <v>0.1</v>
      </c>
    </row>
    <row r="20" spans="2:22" x14ac:dyDescent="0.3">
      <c r="B20" s="4" t="s">
        <v>237</v>
      </c>
      <c r="F20" s="220">
        <f t="shared" ref="F20:Q20" si="4">F18*F19</f>
        <v>250.50666666666663</v>
      </c>
      <c r="G20" s="220">
        <f t="shared" si="4"/>
        <v>253.76</v>
      </c>
      <c r="H20" s="220">
        <f t="shared" si="4"/>
        <v>237.01714285714286</v>
      </c>
      <c r="I20" s="220">
        <f t="shared" si="4"/>
        <v>243.51607142857142</v>
      </c>
      <c r="J20" s="220">
        <f t="shared" si="4"/>
        <v>241.33500000000001</v>
      </c>
      <c r="K20" s="220">
        <f t="shared" si="4"/>
        <v>243.10642857142858</v>
      </c>
      <c r="L20" s="220">
        <f t="shared" si="4"/>
        <v>250.14785714285719</v>
      </c>
      <c r="M20" s="220">
        <f t="shared" si="4"/>
        <v>246.64928571428572</v>
      </c>
      <c r="N20" s="220">
        <f t="shared" si="4"/>
        <v>256.32571428571424</v>
      </c>
      <c r="O20" s="220">
        <f t="shared" si="4"/>
        <v>257.21142857142854</v>
      </c>
      <c r="P20" s="220">
        <f t="shared" si="4"/>
        <v>254.22750000000002</v>
      </c>
      <c r="Q20" s="220">
        <f t="shared" si="4"/>
        <v>255.12750000000003</v>
      </c>
    </row>
    <row r="21" spans="2:22" x14ac:dyDescent="0.3">
      <c r="B21" s="4" t="s">
        <v>238</v>
      </c>
      <c r="F21" s="323">
        <f t="shared" ref="F21:Q21" si="5">1-F19</f>
        <v>0.9</v>
      </c>
      <c r="G21" s="323">
        <f t="shared" si="5"/>
        <v>0.9</v>
      </c>
      <c r="H21" s="323">
        <f t="shared" si="5"/>
        <v>0.9</v>
      </c>
      <c r="I21" s="323">
        <f t="shared" si="5"/>
        <v>0.9</v>
      </c>
      <c r="J21" s="323">
        <f t="shared" si="5"/>
        <v>0.9</v>
      </c>
      <c r="K21" s="323">
        <f t="shared" si="5"/>
        <v>0.9</v>
      </c>
      <c r="L21" s="323">
        <f t="shared" si="5"/>
        <v>0.9</v>
      </c>
      <c r="M21" s="323">
        <f t="shared" si="5"/>
        <v>0.9</v>
      </c>
      <c r="N21" s="323">
        <f t="shared" si="5"/>
        <v>0.9</v>
      </c>
      <c r="O21" s="323">
        <f t="shared" si="5"/>
        <v>0.9</v>
      </c>
      <c r="P21" s="323">
        <f t="shared" si="5"/>
        <v>0.9</v>
      </c>
      <c r="Q21" s="323">
        <f t="shared" si="5"/>
        <v>0.9</v>
      </c>
    </row>
    <row r="22" spans="2:22" x14ac:dyDescent="0.3">
      <c r="B22" s="4" t="s">
        <v>235</v>
      </c>
      <c r="F22" s="220">
        <f t="shared" ref="F22:Q22" si="6">F18*F21</f>
        <v>2254.5599999999995</v>
      </c>
      <c r="G22" s="220">
        <f t="shared" si="6"/>
        <v>2283.84</v>
      </c>
      <c r="H22" s="220">
        <f t="shared" si="6"/>
        <v>2133.1542857142854</v>
      </c>
      <c r="I22" s="220">
        <f t="shared" si="6"/>
        <v>2191.644642857143</v>
      </c>
      <c r="J22" s="220">
        <f t="shared" si="6"/>
        <v>2172.0149999999999</v>
      </c>
      <c r="K22" s="220">
        <f t="shared" si="6"/>
        <v>2187.9578571428574</v>
      </c>
      <c r="L22" s="220">
        <f t="shared" si="6"/>
        <v>2251.3307142857147</v>
      </c>
      <c r="M22" s="220">
        <f t="shared" si="6"/>
        <v>2219.8435714285715</v>
      </c>
      <c r="N22" s="220">
        <f t="shared" si="6"/>
        <v>2306.9314285714281</v>
      </c>
      <c r="O22" s="220">
        <f t="shared" si="6"/>
        <v>2314.9028571428571</v>
      </c>
      <c r="P22" s="220">
        <f t="shared" si="6"/>
        <v>2288.0475000000001</v>
      </c>
      <c r="Q22" s="220">
        <f t="shared" si="6"/>
        <v>2296.1475</v>
      </c>
    </row>
    <row r="23" spans="2:22" x14ac:dyDescent="0.3">
      <c r="B23" s="4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</row>
    <row r="24" spans="2:22" ht="15" customHeight="1" x14ac:dyDescent="0.3">
      <c r="B24" s="25"/>
      <c r="C24" s="329"/>
      <c r="D24" s="329"/>
      <c r="E24" s="329"/>
      <c r="F24" s="386" t="s">
        <v>281</v>
      </c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29"/>
      <c r="S24" s="329"/>
      <c r="T24" s="329"/>
      <c r="U24" s="329"/>
      <c r="V24" s="329"/>
    </row>
    <row r="25" spans="2:22" x14ac:dyDescent="0.3">
      <c r="B25" s="344" t="s">
        <v>337</v>
      </c>
      <c r="C25" s="342" t="s">
        <v>260</v>
      </c>
      <c r="D25" s="9">
        <v>135</v>
      </c>
      <c r="F25" s="323">
        <f>F26/F22</f>
        <v>5.9878645944219731E-2</v>
      </c>
      <c r="G25" s="323">
        <f t="shared" ref="G25:Q25" si="7">G26/G22</f>
        <v>5.9986689085049734E-2</v>
      </c>
      <c r="H25" s="323">
        <f t="shared" si="7"/>
        <v>6.0005036136961502E-2</v>
      </c>
      <c r="I25" s="323">
        <f t="shared" si="7"/>
        <v>5.9772463764573402E-2</v>
      </c>
      <c r="J25" s="323">
        <f t="shared" si="7"/>
        <v>5.9852257005591589E-2</v>
      </c>
      <c r="K25" s="323">
        <f t="shared" si="7"/>
        <v>5.9873182462054468E-2</v>
      </c>
      <c r="L25" s="323">
        <f t="shared" si="7"/>
        <v>5.996453526057445E-2</v>
      </c>
      <c r="M25" s="323">
        <f t="shared" si="7"/>
        <v>5.991413165856925E-2</v>
      </c>
      <c r="N25" s="323">
        <f t="shared" si="7"/>
        <v>5.98197234173782E-2</v>
      </c>
      <c r="O25" s="323">
        <f t="shared" si="7"/>
        <v>6.0045716204073979E-2</v>
      </c>
      <c r="P25" s="323">
        <f t="shared" si="7"/>
        <v>5.9876379314677687E-2</v>
      </c>
      <c r="Q25" s="323">
        <f t="shared" si="7"/>
        <v>6.0971692802836056E-2</v>
      </c>
    </row>
    <row r="26" spans="2:22" x14ac:dyDescent="0.3">
      <c r="B26" s="344"/>
      <c r="C26" s="342"/>
      <c r="D26" s="342"/>
      <c r="E26" s="342" t="s">
        <v>307</v>
      </c>
      <c r="F26" s="330">
        <v>135</v>
      </c>
      <c r="G26" s="330">
        <v>137</v>
      </c>
      <c r="H26" s="330">
        <v>128</v>
      </c>
      <c r="I26" s="330">
        <v>131</v>
      </c>
      <c r="J26" s="330">
        <v>130</v>
      </c>
      <c r="K26" s="330">
        <v>131</v>
      </c>
      <c r="L26" s="330">
        <v>135</v>
      </c>
      <c r="M26" s="330">
        <v>133</v>
      </c>
      <c r="N26" s="330">
        <v>138</v>
      </c>
      <c r="O26" s="330">
        <v>139</v>
      </c>
      <c r="P26" s="330">
        <v>137</v>
      </c>
      <c r="Q26" s="330">
        <v>140</v>
      </c>
    </row>
    <row r="27" spans="2:22" x14ac:dyDescent="0.3">
      <c r="B27" s="344"/>
      <c r="C27" s="342"/>
      <c r="D27" s="388" t="s">
        <v>306</v>
      </c>
      <c r="E27" s="388"/>
      <c r="F27" s="320">
        <f t="shared" ref="F27:Q27" si="8">IF($B25&gt;" ", F26*$D25," ")</f>
        <v>18225</v>
      </c>
      <c r="G27" s="320">
        <f t="shared" si="8"/>
        <v>18495</v>
      </c>
      <c r="H27" s="320">
        <f t="shared" si="8"/>
        <v>17280</v>
      </c>
      <c r="I27" s="320">
        <f t="shared" si="8"/>
        <v>17685</v>
      </c>
      <c r="J27" s="320">
        <f t="shared" si="8"/>
        <v>17550</v>
      </c>
      <c r="K27" s="320">
        <f t="shared" si="8"/>
        <v>17685</v>
      </c>
      <c r="L27" s="320">
        <f t="shared" si="8"/>
        <v>18225</v>
      </c>
      <c r="M27" s="320">
        <f t="shared" si="8"/>
        <v>17955</v>
      </c>
      <c r="N27" s="320">
        <f t="shared" si="8"/>
        <v>18630</v>
      </c>
      <c r="O27" s="320">
        <f t="shared" si="8"/>
        <v>18765</v>
      </c>
      <c r="P27" s="320">
        <f t="shared" si="8"/>
        <v>18495</v>
      </c>
      <c r="Q27" s="320">
        <f t="shared" si="8"/>
        <v>18900</v>
      </c>
    </row>
    <row r="28" spans="2:22" x14ac:dyDescent="0.3">
      <c r="B28" s="344" t="s">
        <v>338</v>
      </c>
      <c r="C28" s="342" t="s">
        <v>260</v>
      </c>
      <c r="D28" s="355">
        <v>95</v>
      </c>
      <c r="E28" s="355"/>
      <c r="F28" s="337">
        <f>F29/F22</f>
        <v>5.9878645944219731E-2</v>
      </c>
      <c r="G28" s="337">
        <f t="shared" ref="G28:Q28" si="9">G29/G22</f>
        <v>5.9986689085049734E-2</v>
      </c>
      <c r="H28" s="337">
        <f t="shared" si="9"/>
        <v>6.0005036136961502E-2</v>
      </c>
      <c r="I28" s="337">
        <f t="shared" si="9"/>
        <v>5.9772463764573402E-2</v>
      </c>
      <c r="J28" s="337">
        <f t="shared" si="9"/>
        <v>5.9852257005591589E-2</v>
      </c>
      <c r="K28" s="337">
        <f t="shared" si="9"/>
        <v>5.9873182462054468E-2</v>
      </c>
      <c r="L28" s="337">
        <f t="shared" si="9"/>
        <v>5.996453526057445E-2</v>
      </c>
      <c r="M28" s="337">
        <f t="shared" si="9"/>
        <v>5.991413165856925E-2</v>
      </c>
      <c r="N28" s="337">
        <f t="shared" si="9"/>
        <v>5.98197234173782E-2</v>
      </c>
      <c r="O28" s="337">
        <f t="shared" si="9"/>
        <v>6.0045716204073979E-2</v>
      </c>
      <c r="P28" s="337">
        <f t="shared" si="9"/>
        <v>5.9876379314677687E-2</v>
      </c>
      <c r="Q28" s="337">
        <f t="shared" si="9"/>
        <v>6.0971692802836056E-2</v>
      </c>
    </row>
    <row r="29" spans="2:22" x14ac:dyDescent="0.3">
      <c r="B29" s="344"/>
      <c r="C29" s="342"/>
      <c r="D29" s="342"/>
      <c r="E29" s="342" t="s">
        <v>307</v>
      </c>
      <c r="F29" s="330">
        <v>135</v>
      </c>
      <c r="G29" s="330">
        <v>137</v>
      </c>
      <c r="H29" s="330">
        <v>128</v>
      </c>
      <c r="I29" s="330">
        <v>131</v>
      </c>
      <c r="J29" s="330">
        <v>130</v>
      </c>
      <c r="K29" s="330">
        <v>131</v>
      </c>
      <c r="L29" s="330">
        <v>135</v>
      </c>
      <c r="M29" s="330">
        <v>133</v>
      </c>
      <c r="N29" s="330">
        <v>138</v>
      </c>
      <c r="O29" s="330">
        <v>139</v>
      </c>
      <c r="P29" s="330">
        <v>137</v>
      </c>
      <c r="Q29" s="330">
        <v>140</v>
      </c>
    </row>
    <row r="30" spans="2:22" x14ac:dyDescent="0.3">
      <c r="B30" s="344"/>
      <c r="C30" s="342"/>
      <c r="D30" s="388" t="s">
        <v>306</v>
      </c>
      <c r="E30" s="388"/>
      <c r="F30" s="320">
        <f t="shared" ref="F30:Q30" si="10">IF($B28&gt;" ", F29*$D28," ")</f>
        <v>12825</v>
      </c>
      <c r="G30" s="320">
        <f t="shared" si="10"/>
        <v>13015</v>
      </c>
      <c r="H30" s="320">
        <f t="shared" si="10"/>
        <v>12160</v>
      </c>
      <c r="I30" s="320">
        <f t="shared" si="10"/>
        <v>12445</v>
      </c>
      <c r="J30" s="320">
        <f t="shared" si="10"/>
        <v>12350</v>
      </c>
      <c r="K30" s="320">
        <f t="shared" si="10"/>
        <v>12445</v>
      </c>
      <c r="L30" s="320">
        <f t="shared" si="10"/>
        <v>12825</v>
      </c>
      <c r="M30" s="320">
        <f t="shared" si="10"/>
        <v>12635</v>
      </c>
      <c r="N30" s="320">
        <f t="shared" si="10"/>
        <v>13110</v>
      </c>
      <c r="O30" s="320">
        <f t="shared" si="10"/>
        <v>13205</v>
      </c>
      <c r="P30" s="320">
        <f t="shared" si="10"/>
        <v>13015</v>
      </c>
      <c r="Q30" s="320">
        <f t="shared" si="10"/>
        <v>13300</v>
      </c>
    </row>
    <row r="31" spans="2:22" x14ac:dyDescent="0.3">
      <c r="B31" s="344" t="s">
        <v>339</v>
      </c>
      <c r="C31" s="342" t="s">
        <v>260</v>
      </c>
      <c r="D31" s="355">
        <v>120</v>
      </c>
      <c r="E31" s="355"/>
      <c r="F31" s="337">
        <f>F32/F22</f>
        <v>0.1202008374139522</v>
      </c>
      <c r="G31" s="337">
        <f t="shared" ref="G31:Q31" si="11">G32/G22</f>
        <v>0.11997337817009947</v>
      </c>
      <c r="H31" s="337">
        <f t="shared" si="11"/>
        <v>0.120010072273923</v>
      </c>
      <c r="I31" s="337">
        <f t="shared" si="11"/>
        <v>0.12045748422784258</v>
      </c>
      <c r="J31" s="337">
        <f t="shared" si="11"/>
        <v>0.12016491598814925</v>
      </c>
      <c r="K31" s="337">
        <f t="shared" si="11"/>
        <v>0.12020341211847577</v>
      </c>
      <c r="L31" s="337">
        <f t="shared" si="11"/>
        <v>0.1199290705211489</v>
      </c>
      <c r="M31" s="337">
        <f t="shared" si="11"/>
        <v>0.1198282633171385</v>
      </c>
      <c r="N31" s="337">
        <f t="shared" si="11"/>
        <v>0.12007292309140406</v>
      </c>
      <c r="O31" s="337">
        <f t="shared" si="11"/>
        <v>0.12009143240814796</v>
      </c>
      <c r="P31" s="337">
        <f t="shared" si="11"/>
        <v>0.12018981249296616</v>
      </c>
      <c r="Q31" s="337">
        <f t="shared" si="11"/>
        <v>0.12020133723987679</v>
      </c>
    </row>
    <row r="32" spans="2:22" x14ac:dyDescent="0.3">
      <c r="B32" s="344"/>
      <c r="C32" s="342"/>
      <c r="D32" s="342"/>
      <c r="E32" s="342" t="s">
        <v>307</v>
      </c>
      <c r="F32" s="330">
        <v>271</v>
      </c>
      <c r="G32" s="330">
        <v>274</v>
      </c>
      <c r="H32" s="330">
        <v>256</v>
      </c>
      <c r="I32" s="330">
        <v>264</v>
      </c>
      <c r="J32" s="330">
        <v>261</v>
      </c>
      <c r="K32" s="330">
        <v>263</v>
      </c>
      <c r="L32" s="330">
        <v>270</v>
      </c>
      <c r="M32" s="330">
        <v>266</v>
      </c>
      <c r="N32" s="330">
        <v>277</v>
      </c>
      <c r="O32" s="330">
        <v>278</v>
      </c>
      <c r="P32" s="330">
        <v>275</v>
      </c>
      <c r="Q32" s="330">
        <v>276</v>
      </c>
    </row>
    <row r="33" spans="2:23" x14ac:dyDescent="0.3">
      <c r="B33" s="344"/>
      <c r="C33" s="342"/>
      <c r="D33" s="388" t="s">
        <v>306</v>
      </c>
      <c r="E33" s="388"/>
      <c r="F33" s="320">
        <f t="shared" ref="F33:Q33" si="12">IF($B31&gt;" ", F32*$D31," ")</f>
        <v>32520</v>
      </c>
      <c r="G33" s="320">
        <f t="shared" si="12"/>
        <v>32880</v>
      </c>
      <c r="H33" s="320">
        <f t="shared" si="12"/>
        <v>30720</v>
      </c>
      <c r="I33" s="320">
        <f t="shared" si="12"/>
        <v>31680</v>
      </c>
      <c r="J33" s="320">
        <f t="shared" si="12"/>
        <v>31320</v>
      </c>
      <c r="K33" s="320">
        <f t="shared" si="12"/>
        <v>31560</v>
      </c>
      <c r="L33" s="320">
        <f t="shared" si="12"/>
        <v>32400</v>
      </c>
      <c r="M33" s="320">
        <f t="shared" si="12"/>
        <v>31920</v>
      </c>
      <c r="N33" s="320">
        <f t="shared" si="12"/>
        <v>33240</v>
      </c>
      <c r="O33" s="320">
        <f t="shared" si="12"/>
        <v>33360</v>
      </c>
      <c r="P33" s="320">
        <f t="shared" si="12"/>
        <v>33000</v>
      </c>
      <c r="Q33" s="320">
        <f t="shared" si="12"/>
        <v>33120</v>
      </c>
    </row>
    <row r="34" spans="2:23" x14ac:dyDescent="0.3">
      <c r="B34" s="344" t="s">
        <v>340</v>
      </c>
      <c r="C34" s="342" t="s">
        <v>260</v>
      </c>
      <c r="D34" s="355">
        <v>265</v>
      </c>
      <c r="E34" s="355"/>
      <c r="F34" s="337">
        <f>F35/F22</f>
        <v>0.27987722659853814</v>
      </c>
      <c r="G34" s="337">
        <f t="shared" ref="G34:Q34" si="13">G35/G22</f>
        <v>0.2797919293820933</v>
      </c>
      <c r="H34" s="337">
        <f t="shared" si="13"/>
        <v>0.279867238857547</v>
      </c>
      <c r="I34" s="337">
        <f t="shared" si="13"/>
        <v>0.28015490649960356</v>
      </c>
      <c r="J34" s="337">
        <f t="shared" si="13"/>
        <v>0.27624118617965349</v>
      </c>
      <c r="K34" s="337">
        <f t="shared" si="13"/>
        <v>0.28062697734123238</v>
      </c>
      <c r="L34" s="337">
        <f t="shared" si="13"/>
        <v>0.27983449788268078</v>
      </c>
      <c r="M34" s="337">
        <f t="shared" si="13"/>
        <v>0.2801999239972186</v>
      </c>
      <c r="N34" s="337">
        <f t="shared" si="13"/>
        <v>0.28002566179439359</v>
      </c>
      <c r="O34" s="337">
        <f t="shared" si="13"/>
        <v>0.27992535323913625</v>
      </c>
      <c r="P34" s="337">
        <f t="shared" si="13"/>
        <v>0.28058858043812462</v>
      </c>
      <c r="Q34" s="337">
        <f t="shared" si="13"/>
        <v>0.28046978689304586</v>
      </c>
    </row>
    <row r="35" spans="2:23" ht="13.2" customHeight="1" x14ac:dyDescent="0.3">
      <c r="B35" s="344"/>
      <c r="C35" s="342"/>
      <c r="D35" s="342"/>
      <c r="E35" s="342" t="s">
        <v>307</v>
      </c>
      <c r="F35" s="330">
        <v>631</v>
      </c>
      <c r="G35" s="330">
        <v>639</v>
      </c>
      <c r="H35" s="330">
        <v>597</v>
      </c>
      <c r="I35" s="330">
        <v>614</v>
      </c>
      <c r="J35" s="330">
        <v>600</v>
      </c>
      <c r="K35" s="330">
        <v>614</v>
      </c>
      <c r="L35" s="330">
        <v>630</v>
      </c>
      <c r="M35" s="330">
        <v>622</v>
      </c>
      <c r="N35" s="330">
        <v>646</v>
      </c>
      <c r="O35" s="330">
        <v>648</v>
      </c>
      <c r="P35" s="330">
        <v>642</v>
      </c>
      <c r="Q35" s="330">
        <v>644</v>
      </c>
    </row>
    <row r="36" spans="2:23" ht="13.2" customHeight="1" x14ac:dyDescent="0.3">
      <c r="B36" s="344"/>
      <c r="C36" s="342"/>
      <c r="D36" s="388" t="s">
        <v>306</v>
      </c>
      <c r="E36" s="388"/>
      <c r="F36" s="140">
        <f t="shared" ref="F36:Q36" si="14">IF($B34&gt;" ", F35*$D34," ")</f>
        <v>167215</v>
      </c>
      <c r="G36" s="140">
        <f t="shared" si="14"/>
        <v>169335</v>
      </c>
      <c r="H36" s="140">
        <f t="shared" si="14"/>
        <v>158205</v>
      </c>
      <c r="I36" s="140">
        <f t="shared" si="14"/>
        <v>162710</v>
      </c>
      <c r="J36" s="140">
        <f t="shared" si="14"/>
        <v>159000</v>
      </c>
      <c r="K36" s="140">
        <f t="shared" si="14"/>
        <v>162710</v>
      </c>
      <c r="L36" s="140">
        <f t="shared" si="14"/>
        <v>166950</v>
      </c>
      <c r="M36" s="140">
        <f t="shared" si="14"/>
        <v>164830</v>
      </c>
      <c r="N36" s="140">
        <f t="shared" si="14"/>
        <v>171190</v>
      </c>
      <c r="O36" s="140">
        <f t="shared" si="14"/>
        <v>171720</v>
      </c>
      <c r="P36" s="140">
        <f t="shared" si="14"/>
        <v>170130</v>
      </c>
      <c r="Q36" s="140">
        <f t="shared" si="14"/>
        <v>170660</v>
      </c>
    </row>
    <row r="37" spans="2:23" x14ac:dyDescent="0.3">
      <c r="B37" s="344" t="s">
        <v>341</v>
      </c>
      <c r="C37" s="342" t="s">
        <v>260</v>
      </c>
      <c r="D37" s="355">
        <v>345</v>
      </c>
      <c r="E37" s="355"/>
      <c r="F37" s="337">
        <f>F38/F22</f>
        <v>0.47991625860478332</v>
      </c>
      <c r="G37" s="337">
        <f t="shared" ref="G37:Q37" si="15">G38/G22</f>
        <v>0.47945565363598147</v>
      </c>
      <c r="H37" s="337">
        <f t="shared" si="15"/>
        <v>0.48004028909569202</v>
      </c>
      <c r="I37" s="337">
        <f t="shared" si="15"/>
        <v>0.91940087393599546</v>
      </c>
      <c r="J37" s="337">
        <f t="shared" si="15"/>
        <v>0.48019926197563095</v>
      </c>
      <c r="K37" s="337">
        <f t="shared" si="15"/>
        <v>0.47989955408516938</v>
      </c>
      <c r="L37" s="337">
        <f t="shared" si="15"/>
        <v>0.48016046382726651</v>
      </c>
      <c r="M37" s="337">
        <f t="shared" si="15"/>
        <v>0.48021401765439714</v>
      </c>
      <c r="N37" s="337">
        <f t="shared" si="15"/>
        <v>0.47942473985232092</v>
      </c>
      <c r="O37" s="337">
        <f t="shared" si="15"/>
        <v>0.47993374606277833</v>
      </c>
      <c r="P37" s="337">
        <f t="shared" si="15"/>
        <v>0.49998961997073921</v>
      </c>
      <c r="Q37" s="337">
        <f t="shared" si="15"/>
        <v>0.53742192084785489</v>
      </c>
    </row>
    <row r="38" spans="2:23" x14ac:dyDescent="0.3">
      <c r="B38" s="4"/>
      <c r="D38" s="342"/>
      <c r="E38" s="342" t="s">
        <v>307</v>
      </c>
      <c r="F38" s="330">
        <v>1082</v>
      </c>
      <c r="G38" s="330">
        <v>1095</v>
      </c>
      <c r="H38" s="330">
        <v>1024</v>
      </c>
      <c r="I38" s="330">
        <v>2015</v>
      </c>
      <c r="J38" s="330">
        <v>1043</v>
      </c>
      <c r="K38" s="330">
        <v>1050</v>
      </c>
      <c r="L38" s="330">
        <v>1081</v>
      </c>
      <c r="M38" s="330">
        <v>1066</v>
      </c>
      <c r="N38" s="330">
        <v>1106</v>
      </c>
      <c r="O38" s="330">
        <v>1111</v>
      </c>
      <c r="P38" s="330">
        <v>1144</v>
      </c>
      <c r="Q38" s="330">
        <v>1234</v>
      </c>
    </row>
    <row r="39" spans="2:23" x14ac:dyDescent="0.3">
      <c r="B39" s="4"/>
      <c r="D39" s="388" t="s">
        <v>306</v>
      </c>
      <c r="E39" s="388"/>
      <c r="F39" s="320">
        <f t="shared" ref="F39:Q39" si="16">IF($B37&gt;" ", F38*$D37," ")</f>
        <v>373290</v>
      </c>
      <c r="G39" s="320">
        <f t="shared" si="16"/>
        <v>377775</v>
      </c>
      <c r="H39" s="320">
        <f t="shared" si="16"/>
        <v>353280</v>
      </c>
      <c r="I39" s="320">
        <f t="shared" si="16"/>
        <v>695175</v>
      </c>
      <c r="J39" s="320">
        <f t="shared" si="16"/>
        <v>359835</v>
      </c>
      <c r="K39" s="320">
        <f t="shared" si="16"/>
        <v>362250</v>
      </c>
      <c r="L39" s="320">
        <f t="shared" si="16"/>
        <v>372945</v>
      </c>
      <c r="M39" s="320">
        <f t="shared" si="16"/>
        <v>367770</v>
      </c>
      <c r="N39" s="320">
        <f t="shared" si="16"/>
        <v>381570</v>
      </c>
      <c r="O39" s="320">
        <f t="shared" si="16"/>
        <v>383295</v>
      </c>
      <c r="P39" s="320">
        <f t="shared" si="16"/>
        <v>394680</v>
      </c>
      <c r="Q39" s="320">
        <f t="shared" si="16"/>
        <v>425730</v>
      </c>
    </row>
    <row r="40" spans="2:23" ht="13.2" customHeight="1" x14ac:dyDescent="0.3">
      <c r="B40" s="338"/>
      <c r="C40" s="333"/>
      <c r="D40" s="333"/>
      <c r="E40" s="333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214"/>
      <c r="S40" s="214"/>
      <c r="T40" s="214"/>
      <c r="U40" s="214"/>
      <c r="V40" s="214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39"/>
      <c r="C42" s="203"/>
      <c r="D42" s="340"/>
      <c r="F42" s="339" t="s">
        <v>19</v>
      </c>
      <c r="G42" s="203"/>
      <c r="H42" s="203"/>
      <c r="I42" s="203"/>
      <c r="J42" s="340"/>
      <c r="L42" s="383" t="s">
        <v>20</v>
      </c>
      <c r="M42" s="383"/>
      <c r="N42" s="383"/>
      <c r="O42" s="383"/>
      <c r="P42" s="383"/>
      <c r="Q42" s="383"/>
      <c r="R42" s="383" t="s">
        <v>21</v>
      </c>
      <c r="S42" s="383"/>
      <c r="T42" s="383"/>
      <c r="U42" s="383"/>
      <c r="V42" s="383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13"/>
    </row>
    <row r="44" spans="2:23" x14ac:dyDescent="0.3">
      <c r="B44" s="4" t="s">
        <v>119</v>
      </c>
      <c r="D44" s="5"/>
      <c r="F44" s="18">
        <f>'IS 2024'!U17</f>
        <v>4830841</v>
      </c>
      <c r="G44" s="1">
        <f>'IS 2025'!U17</f>
        <v>6860174.7340000002</v>
      </c>
      <c r="H44" s="1">
        <f>'IS 2026'!U17</f>
        <v>7601190</v>
      </c>
      <c r="I44" s="1">
        <f>'IS 2027'!U17</f>
        <v>11288870</v>
      </c>
      <c r="J44" s="194">
        <f>'IS 2028'!U17</f>
        <v>12737175</v>
      </c>
      <c r="K44" s="1"/>
    </row>
    <row r="45" spans="2:23" x14ac:dyDescent="0.3">
      <c r="B45" s="4" t="s">
        <v>3</v>
      </c>
      <c r="D45" s="5"/>
      <c r="F45" s="18">
        <f>'IS 2024'!U18</f>
        <v>-124680</v>
      </c>
      <c r="G45" s="1">
        <f>'IS 2025'!U18</f>
        <v>-124680</v>
      </c>
      <c r="H45" s="1">
        <f>'IS 2026'!U18</f>
        <v>103320</v>
      </c>
      <c r="I45" s="1">
        <f>'IS 2027'!U18</f>
        <v>-390528</v>
      </c>
      <c r="J45" s="194">
        <f>'IS 2028'!U18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5130697</v>
      </c>
      <c r="G46" s="1">
        <f>G44-G45-G48-G49-G50</f>
        <v>7160030.7340000002</v>
      </c>
      <c r="H46" s="1">
        <f>H44-H45-H48-H49-H50</f>
        <v>8165046</v>
      </c>
      <c r="I46" s="1">
        <f>I44-I45-I48-I49-I50</f>
        <v>12652476</v>
      </c>
      <c r="J46" s="194">
        <f>J44-J45-J48-J49-J50</f>
        <v>14159781</v>
      </c>
      <c r="K46" s="1"/>
    </row>
    <row r="47" spans="2:23" x14ac:dyDescent="0.3">
      <c r="B47" s="4" t="s">
        <v>30</v>
      </c>
      <c r="D47" s="5"/>
      <c r="F47" s="195">
        <f>F46/F44</f>
        <v>1.0620711797386833</v>
      </c>
      <c r="G47" s="19">
        <f>G46/G44</f>
        <v>1.0437096738241769</v>
      </c>
      <c r="H47" s="19">
        <f>H46/H44</f>
        <v>1.0741799639267009</v>
      </c>
      <c r="I47" s="19">
        <f>I46/I44</f>
        <v>1.1207920721914593</v>
      </c>
      <c r="J47" s="196">
        <f>J46/J44</f>
        <v>1.1116892874597388</v>
      </c>
      <c r="K47" s="19"/>
    </row>
    <row r="48" spans="2:23" x14ac:dyDescent="0.3">
      <c r="B48" s="4" t="s">
        <v>5</v>
      </c>
      <c r="D48" s="5"/>
      <c r="F48" s="18">
        <f>'IS 2024'!U39</f>
        <v>-48756</v>
      </c>
      <c r="G48" s="1">
        <f>'IS 2025'!U40</f>
        <v>-48756</v>
      </c>
      <c r="H48" s="1">
        <f>'IS 2026'!U39</f>
        <v>-540756</v>
      </c>
      <c r="I48" s="1">
        <f>'IS 2027'!U38</f>
        <v>-540756</v>
      </c>
      <c r="J48" s="194">
        <f>'IS 2028'!U38</f>
        <v>-540756</v>
      </c>
      <c r="K48" s="1"/>
    </row>
    <row r="49" spans="2:11" x14ac:dyDescent="0.3">
      <c r="B49" s="4" t="s">
        <v>6</v>
      </c>
      <c r="D49" s="5"/>
      <c r="F49" s="18">
        <f>'IS 2024'!U38</f>
        <v>-27420</v>
      </c>
      <c r="G49" s="1">
        <f>'IS 2025'!U39</f>
        <v>-27420</v>
      </c>
      <c r="H49" s="1">
        <f>'IS 2026'!U38</f>
        <v>-27420</v>
      </c>
      <c r="I49" s="1">
        <f>'IS 2027'!U37</f>
        <v>-333322</v>
      </c>
      <c r="J49" s="194">
        <f>'IS 2028'!U37</f>
        <v>-333322</v>
      </c>
      <c r="K49" s="1"/>
    </row>
    <row r="50" spans="2:11" x14ac:dyDescent="0.3">
      <c r="B50" s="4" t="s">
        <v>7</v>
      </c>
      <c r="D50" s="5"/>
      <c r="F50" s="18">
        <f>'IS 2024'!U58</f>
        <v>-99000</v>
      </c>
      <c r="G50" s="1">
        <f>'IS 2025'!U59</f>
        <v>-99000</v>
      </c>
      <c r="H50" s="1">
        <f>'IS 2026'!U58</f>
        <v>-99000</v>
      </c>
      <c r="I50" s="1">
        <f>'IS 2027'!U56</f>
        <v>-99000</v>
      </c>
      <c r="J50" s="194">
        <f>'IS 2028'!U56</f>
        <v>-99000</v>
      </c>
      <c r="K50" s="1"/>
    </row>
    <row r="51" spans="2:11" x14ac:dyDescent="0.3">
      <c r="B51" s="4" t="s">
        <v>8</v>
      </c>
      <c r="D51" s="5"/>
      <c r="F51" s="18">
        <f>F60/F44*100</f>
        <v>75.841717829255813</v>
      </c>
      <c r="G51" s="1">
        <f>F60/F44*100</f>
        <v>75.841717829255813</v>
      </c>
      <c r="H51" s="1">
        <f>F60/F44*100</f>
        <v>75.841717829255813</v>
      </c>
      <c r="I51" s="1">
        <f>I60/I44*100</f>
        <v>74.168769770579345</v>
      </c>
      <c r="J51" s="194">
        <f>J60/J44*100</f>
        <v>74.461252200743104</v>
      </c>
      <c r="K51" s="1"/>
    </row>
    <row r="52" spans="2:11" x14ac:dyDescent="0.3">
      <c r="B52" s="4" t="s">
        <v>9</v>
      </c>
      <c r="D52" s="5"/>
      <c r="F52" s="195">
        <f>F60/F44</f>
        <v>0.75841717829255817</v>
      </c>
      <c r="G52" s="19">
        <f>G60/G44</f>
        <v>0.77071794702190144</v>
      </c>
      <c r="H52" s="19">
        <f>H60/H44</f>
        <v>0.79756880172709799</v>
      </c>
      <c r="I52" s="19">
        <f>I60/I44</f>
        <v>0.74168769770579346</v>
      </c>
      <c r="J52" s="196">
        <f>J60/J44</f>
        <v>0.74461252200743111</v>
      </c>
      <c r="K52" s="19"/>
    </row>
    <row r="53" spans="2:11" x14ac:dyDescent="0.3">
      <c r="B53" s="4" t="s">
        <v>10</v>
      </c>
      <c r="D53" s="5"/>
      <c r="F53" s="18">
        <f>'IS 2024'!U59</f>
        <v>4579741</v>
      </c>
      <c r="G53" s="1">
        <f>'IS 2025'!U60</f>
        <v>6609074.7340000002</v>
      </c>
      <c r="H53" s="1">
        <f>'IS 2026'!U59</f>
        <v>7578090</v>
      </c>
      <c r="I53" s="1">
        <f>'IS 2026'!U59</f>
        <v>7578090</v>
      </c>
      <c r="J53" s="194">
        <f>'IS 2028'!U57</f>
        <v>11855325</v>
      </c>
      <c r="K53" s="1"/>
    </row>
    <row r="54" spans="2:11" x14ac:dyDescent="0.3">
      <c r="B54" s="4" t="s">
        <v>22</v>
      </c>
      <c r="D54" s="5"/>
      <c r="F54" s="195">
        <f>F53/F44</f>
        <v>0.94802147286569771</v>
      </c>
      <c r="G54" s="19">
        <f>F53/F44</f>
        <v>0.94802147286569771</v>
      </c>
      <c r="H54" s="19">
        <f>F53/F44</f>
        <v>0.94802147286569771</v>
      </c>
      <c r="I54" s="19">
        <f>I53/I44</f>
        <v>0.67128862321915306</v>
      </c>
      <c r="J54" s="196">
        <f>J53/J44</f>
        <v>0.93076565250928878</v>
      </c>
      <c r="K54" s="19"/>
    </row>
    <row r="55" spans="2:11" x14ac:dyDescent="0.3">
      <c r="B55" s="4" t="s">
        <v>11</v>
      </c>
      <c r="D55" s="5"/>
      <c r="F55" s="18">
        <f>'IS 2024'!U60</f>
        <v>-20532</v>
      </c>
      <c r="G55" s="1">
        <f>'IS 2025'!U61</f>
        <v>-17800</v>
      </c>
      <c r="H55" s="1">
        <f>'IS 2026'!U60</f>
        <v>-21149</v>
      </c>
      <c r="I55" s="1">
        <f>'IS 2027'!U58</f>
        <v>-21537</v>
      </c>
      <c r="J55" s="194">
        <f>'IS 2028'!U58</f>
        <v>-21292</v>
      </c>
      <c r="K55" s="1"/>
    </row>
    <row r="56" spans="2:11" x14ac:dyDescent="0.3">
      <c r="B56" s="4" t="s">
        <v>12</v>
      </c>
      <c r="D56" s="5"/>
      <c r="F56" s="18">
        <f>'IS 2024'!U61</f>
        <v>4559209</v>
      </c>
      <c r="G56" s="1">
        <f>'IS 2025'!U62</f>
        <v>6591274.7340000002</v>
      </c>
      <c r="H56" s="1">
        <f>'IS 2026'!U61</f>
        <v>7588139</v>
      </c>
      <c r="I56" s="1">
        <f>'IS 2027'!U59</f>
        <v>10444483</v>
      </c>
      <c r="J56" s="194">
        <f>'IS 2028'!U59</f>
        <v>11834033</v>
      </c>
      <c r="K56" s="1"/>
    </row>
    <row r="57" spans="2:11" x14ac:dyDescent="0.3">
      <c r="B57" s="4" t="s">
        <v>13</v>
      </c>
      <c r="D57" s="5"/>
      <c r="F57" s="18">
        <f>'IS 2024'!U62</f>
        <v>-1098002.4000000001</v>
      </c>
      <c r="G57" s="1">
        <f>'IS 2025'!U63</f>
        <v>-613644</v>
      </c>
      <c r="H57" s="1">
        <f>'IS 2026'!U62</f>
        <v>-104689.20000000001</v>
      </c>
      <c r="I57" s="1">
        <f>'IS 2027'!U60</f>
        <v>0</v>
      </c>
      <c r="J57" s="194">
        <f>'IS 2028'!U60</f>
        <v>0</v>
      </c>
      <c r="K57" s="1"/>
    </row>
    <row r="58" spans="2:11" x14ac:dyDescent="0.3">
      <c r="B58" s="4" t="s">
        <v>14</v>
      </c>
      <c r="D58" s="5"/>
      <c r="F58" s="18">
        <f>'IS 2024'!U63</f>
        <v>4579741</v>
      </c>
      <c r="G58" s="1">
        <f>'IS 2025'!U64</f>
        <v>6609074.7340000002</v>
      </c>
      <c r="H58" s="1">
        <f>'IS 2026'!U63</f>
        <v>7578090</v>
      </c>
      <c r="I58" s="1">
        <f>'IS 2027'!U61</f>
        <v>10466020</v>
      </c>
      <c r="J58" s="194">
        <f>'IS 2028'!U61</f>
        <v>11855325</v>
      </c>
      <c r="K58" s="1"/>
    </row>
    <row r="59" spans="2:11" x14ac:dyDescent="0.3">
      <c r="B59" s="4" t="s">
        <v>15</v>
      </c>
      <c r="D59" s="5"/>
      <c r="F59" s="18">
        <f>'IS 2024'!U64</f>
        <v>-915948.2</v>
      </c>
      <c r="G59" s="1">
        <f>'IS 2025'!U65</f>
        <v>-1321814.9468</v>
      </c>
      <c r="H59" s="1">
        <f>'IS 2026'!U64</f>
        <v>-1515618</v>
      </c>
      <c r="I59" s="1">
        <f>'IS 2027'!U62</f>
        <v>-2093204.0000000005</v>
      </c>
      <c r="J59" s="194">
        <f>'IS 2028'!U62</f>
        <v>-2371065.0000000005</v>
      </c>
      <c r="K59" s="1"/>
    </row>
    <row r="60" spans="2:11" x14ac:dyDescent="0.3">
      <c r="B60" s="4" t="s">
        <v>16</v>
      </c>
      <c r="D60" s="5"/>
      <c r="F60" s="18">
        <f>'IS 2024'!U65</f>
        <v>3663792.8</v>
      </c>
      <c r="G60" s="1">
        <f>'IS 2025'!U66</f>
        <v>5287259.7871999992</v>
      </c>
      <c r="H60" s="1">
        <f>'IS 2026'!U65</f>
        <v>6062472</v>
      </c>
      <c r="I60" s="1">
        <f>'IS 2027'!U63</f>
        <v>8372816.0000000009</v>
      </c>
      <c r="J60" s="194">
        <f>'IS 2028'!U63</f>
        <v>9484260.0000000019</v>
      </c>
      <c r="K60" s="1"/>
    </row>
    <row r="61" spans="2:11" x14ac:dyDescent="0.3">
      <c r="B61" s="4" t="s">
        <v>17</v>
      </c>
      <c r="D61" s="5"/>
      <c r="F61" s="195">
        <f>F60/F44</f>
        <v>0.75841717829255817</v>
      </c>
      <c r="G61" s="19">
        <f>G60/G44</f>
        <v>0.77071794702190144</v>
      </c>
      <c r="H61" s="19">
        <f>H60/H44</f>
        <v>0.79756880172709799</v>
      </c>
      <c r="I61" s="19">
        <f>I60/I44</f>
        <v>0.74168769770579346</v>
      </c>
      <c r="J61" s="196">
        <f>J60/J44</f>
        <v>0.74461252200743111</v>
      </c>
      <c r="K61" s="19"/>
    </row>
    <row r="62" spans="2:11" x14ac:dyDescent="0.3">
      <c r="B62" s="4" t="s">
        <v>148</v>
      </c>
      <c r="D62" s="5"/>
      <c r="F62" s="18">
        <f>F60-F50-F55</f>
        <v>3783324.8</v>
      </c>
      <c r="G62" s="1">
        <f>G60-G50-G55</f>
        <v>5404059.7871999992</v>
      </c>
      <c r="H62" s="1">
        <f>H60-H50-H55</f>
        <v>6182621</v>
      </c>
      <c r="I62" s="1">
        <f>I60-I50-I55</f>
        <v>8493353</v>
      </c>
      <c r="J62" s="194">
        <f>J60-J50-J55</f>
        <v>9604552.0000000019</v>
      </c>
      <c r="K62" s="1"/>
    </row>
    <row r="63" spans="2:11" x14ac:dyDescent="0.3">
      <c r="B63" s="6" t="s">
        <v>147</v>
      </c>
      <c r="C63" s="343"/>
      <c r="D63" s="7"/>
      <c r="F63" s="197">
        <f>F62-F48-F49-F50</f>
        <v>3958500.8</v>
      </c>
      <c r="G63" s="20">
        <f>G62-G48-G49-G50</f>
        <v>5579235.7871999992</v>
      </c>
      <c r="H63" s="20">
        <f>H62-H48-H49-H50</f>
        <v>6849797</v>
      </c>
      <c r="I63" s="20">
        <f>I62-I48-I49-I50</f>
        <v>9466431</v>
      </c>
      <c r="J63" s="198">
        <f>J62-J48-J49-J50</f>
        <v>10577630.000000002</v>
      </c>
      <c r="K63" s="1"/>
    </row>
  </sheetData>
  <mergeCells count="10">
    <mergeCell ref="F6:Q6"/>
    <mergeCell ref="L42:Q42"/>
    <mergeCell ref="R42:V42"/>
    <mergeCell ref="F16:Q16"/>
    <mergeCell ref="F24:Q24"/>
    <mergeCell ref="D39:E39"/>
    <mergeCell ref="D27:E27"/>
    <mergeCell ref="D30:E30"/>
    <mergeCell ref="D33:E33"/>
    <mergeCell ref="D36:E36"/>
  </mergeCells>
  <conditionalFormatting sqref="F40:Q40">
    <cfRule type="cellIs" dxfId="2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3A31-AF77-4355-8357-95967E1F0259}">
  <sheetPr codeName="Sheet25"/>
  <dimension ref="A1:AP83"/>
  <sheetViews>
    <sheetView showGridLines="0" workbookViewId="0">
      <selection activeCell="C12" sqref="C12:C16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.21875" style="136" bestFit="1" customWidth="1"/>
    <col min="7" max="8" width="10.109375" bestFit="1" customWidth="1"/>
    <col min="9" max="9" width="9.88671875" customWidth="1"/>
    <col min="10" max="10" width="10.5546875" bestFit="1" customWidth="1"/>
    <col min="11" max="11" width="10.109375" bestFit="1" customWidth="1"/>
    <col min="12" max="13" width="10.5546875" bestFit="1" customWidth="1"/>
    <col min="14" max="14" width="9.5546875" customWidth="1"/>
    <col min="15" max="15" width="10.109375" bestFit="1" customWidth="1"/>
    <col min="16" max="19" width="10.5546875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144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0"/>
      <c r="B5" s="153" t="s">
        <v>176</v>
      </c>
      <c r="C5" s="150"/>
      <c r="D5" s="150"/>
      <c r="E5" s="150"/>
      <c r="F5" s="208">
        <v>2026</v>
      </c>
      <c r="G5" s="208">
        <v>2026</v>
      </c>
      <c r="H5" s="208">
        <v>2026</v>
      </c>
      <c r="I5" s="208">
        <v>2026</v>
      </c>
      <c r="J5" s="208">
        <v>2026</v>
      </c>
      <c r="K5" s="208">
        <v>2026</v>
      </c>
      <c r="L5" s="208">
        <v>2026</v>
      </c>
      <c r="M5" s="208">
        <v>2026</v>
      </c>
      <c r="N5" s="208">
        <v>2026</v>
      </c>
      <c r="O5" s="208">
        <v>2026</v>
      </c>
      <c r="P5" s="208">
        <v>2026</v>
      </c>
      <c r="Q5" s="208">
        <v>2026</v>
      </c>
      <c r="R5" s="208">
        <v>2027</v>
      </c>
      <c r="S5" s="208">
        <v>2027</v>
      </c>
      <c r="T5" s="208">
        <v>2027</v>
      </c>
      <c r="U5" s="181" t="s">
        <v>78</v>
      </c>
    </row>
    <row r="6" spans="1:42" ht="15" thickBot="1" x14ac:dyDescent="0.35">
      <c r="A6" s="152"/>
      <c r="B6" s="160" t="s">
        <v>70</v>
      </c>
      <c r="C6" s="152"/>
      <c r="D6" s="152"/>
      <c r="E6" s="152"/>
      <c r="F6" s="207" t="s">
        <v>32</v>
      </c>
      <c r="G6" s="207" t="s">
        <v>33</v>
      </c>
      <c r="H6" s="207" t="s">
        <v>34</v>
      </c>
      <c r="I6" s="207" t="s">
        <v>35</v>
      </c>
      <c r="J6" s="207" t="s">
        <v>36</v>
      </c>
      <c r="K6" s="207" t="s">
        <v>37</v>
      </c>
      <c r="L6" s="207" t="s">
        <v>38</v>
      </c>
      <c r="M6" s="207" t="s">
        <v>39</v>
      </c>
      <c r="N6" s="207" t="s">
        <v>40</v>
      </c>
      <c r="O6" s="207" t="s">
        <v>41</v>
      </c>
      <c r="P6" s="207" t="s">
        <v>42</v>
      </c>
      <c r="Q6" s="207" t="s">
        <v>43</v>
      </c>
      <c r="R6" s="207" t="s">
        <v>32</v>
      </c>
      <c r="S6" s="207" t="s">
        <v>33</v>
      </c>
      <c r="T6" s="207" t="s">
        <v>34</v>
      </c>
      <c r="U6" s="166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309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337</v>
      </c>
      <c r="D12" s="13"/>
      <c r="E12" s="13"/>
      <c r="F12" s="158">
        <f>'2026 Sales Summary'!F27</f>
        <v>18225</v>
      </c>
      <c r="G12" s="158">
        <f>'2026 Sales Summary'!G27</f>
        <v>18495</v>
      </c>
      <c r="H12" s="158">
        <f>'2026 Sales Summary'!H27</f>
        <v>17280</v>
      </c>
      <c r="I12" s="158">
        <f>'2026 Sales Summary'!I27</f>
        <v>17685</v>
      </c>
      <c r="J12" s="158">
        <f>'2026 Sales Summary'!J27</f>
        <v>17550</v>
      </c>
      <c r="K12" s="158">
        <f>'2026 Sales Summary'!K27</f>
        <v>17685</v>
      </c>
      <c r="L12" s="158">
        <f>'2026 Sales Summary'!L27</f>
        <v>18225</v>
      </c>
      <c r="M12" s="158">
        <f>'2026 Sales Summary'!M27</f>
        <v>17955</v>
      </c>
      <c r="N12" s="158">
        <f>'2026 Sales Summary'!N27</f>
        <v>18630</v>
      </c>
      <c r="O12" s="158">
        <f>'2026 Sales Summary'!O27</f>
        <v>18765</v>
      </c>
      <c r="P12" s="158">
        <f>'2026 Sales Summary'!P27</f>
        <v>18495</v>
      </c>
      <c r="Q12" s="158">
        <f>'2026 Sales Summary'!Q27</f>
        <v>18900</v>
      </c>
      <c r="R12" s="158">
        <f>'IS 2027'!F12</f>
        <v>18630</v>
      </c>
      <c r="S12" s="158">
        <f>'IS 2027'!G12</f>
        <v>19170</v>
      </c>
      <c r="T12" s="158">
        <f>'IS 2027'!H12</f>
        <v>19305</v>
      </c>
      <c r="U12" s="13"/>
    </row>
    <row r="13" spans="1:42" x14ac:dyDescent="0.3">
      <c r="A13" s="13"/>
      <c r="B13" s="13"/>
      <c r="C13" s="145" t="s">
        <v>338</v>
      </c>
      <c r="D13" s="13"/>
      <c r="E13" s="13"/>
      <c r="F13" s="158">
        <f>'2026 Sales Summary'!F30</f>
        <v>12825</v>
      </c>
      <c r="G13" s="158">
        <f>'2026 Sales Summary'!G30</f>
        <v>13015</v>
      </c>
      <c r="H13" s="158">
        <f>'2026 Sales Summary'!H30</f>
        <v>12160</v>
      </c>
      <c r="I13" s="158">
        <f>'2026 Sales Summary'!I30</f>
        <v>12445</v>
      </c>
      <c r="J13" s="158">
        <f>'2026 Sales Summary'!J30</f>
        <v>12350</v>
      </c>
      <c r="K13" s="158">
        <f>'2026 Sales Summary'!K30</f>
        <v>12445</v>
      </c>
      <c r="L13" s="158">
        <f>'2026 Sales Summary'!L30</f>
        <v>12825</v>
      </c>
      <c r="M13" s="158">
        <f>'2026 Sales Summary'!M30</f>
        <v>12635</v>
      </c>
      <c r="N13" s="158">
        <f>'2026 Sales Summary'!N30</f>
        <v>13110</v>
      </c>
      <c r="O13" s="158">
        <f>'2026 Sales Summary'!O30</f>
        <v>13205</v>
      </c>
      <c r="P13" s="158">
        <f>'2026 Sales Summary'!P30</f>
        <v>13015</v>
      </c>
      <c r="Q13" s="158">
        <f>'2026 Sales Summary'!Q30</f>
        <v>13300</v>
      </c>
      <c r="R13" s="158">
        <f>'IS 2027'!F13</f>
        <v>26220</v>
      </c>
      <c r="S13" s="158">
        <f>'IS 2027'!G13</f>
        <v>26980</v>
      </c>
      <c r="T13" s="158">
        <f>'IS 2027'!H13</f>
        <v>27170</v>
      </c>
      <c r="U13" s="13"/>
    </row>
    <row r="14" spans="1:42" x14ac:dyDescent="0.3">
      <c r="A14" s="13"/>
      <c r="B14" s="13"/>
      <c r="C14" s="145" t="s">
        <v>339</v>
      </c>
      <c r="D14" s="13"/>
      <c r="E14" s="13"/>
      <c r="F14" s="158">
        <f>'2026 Sales Summary'!F33</f>
        <v>32520</v>
      </c>
      <c r="G14" s="158">
        <f>'2026 Sales Summary'!G33</f>
        <v>32880</v>
      </c>
      <c r="H14" s="158">
        <f>'2026 Sales Summary'!H33</f>
        <v>30720</v>
      </c>
      <c r="I14" s="158">
        <f>'2026 Sales Summary'!I33</f>
        <v>31680</v>
      </c>
      <c r="J14" s="158">
        <f>'2026 Sales Summary'!J33</f>
        <v>31320</v>
      </c>
      <c r="K14" s="158">
        <f>'2026 Sales Summary'!K33</f>
        <v>31560</v>
      </c>
      <c r="L14" s="158">
        <f>'2026 Sales Summary'!L33</f>
        <v>32400</v>
      </c>
      <c r="M14" s="158">
        <f>'2026 Sales Summary'!M33</f>
        <v>31920</v>
      </c>
      <c r="N14" s="158">
        <f>'2026 Sales Summary'!N33</f>
        <v>33240</v>
      </c>
      <c r="O14" s="158">
        <f>'2026 Sales Summary'!O33</f>
        <v>33360</v>
      </c>
      <c r="P14" s="158">
        <f>'2026 Sales Summary'!P33</f>
        <v>33000</v>
      </c>
      <c r="Q14" s="158">
        <f>'2026 Sales Summary'!Q33</f>
        <v>33120</v>
      </c>
      <c r="R14" s="158">
        <f>'IS 2027'!F14</f>
        <v>73405</v>
      </c>
      <c r="S14" s="158">
        <f>'IS 2027'!G14</f>
        <v>74995</v>
      </c>
      <c r="T14" s="158">
        <f>'IS 2027'!H14</f>
        <v>75525</v>
      </c>
      <c r="U14" s="13"/>
    </row>
    <row r="15" spans="1:42" x14ac:dyDescent="0.3">
      <c r="A15" s="13"/>
      <c r="B15" s="13"/>
      <c r="C15" s="145" t="s">
        <v>340</v>
      </c>
      <c r="D15" s="13"/>
      <c r="E15" s="13"/>
      <c r="F15" s="158">
        <f>'2026 Sales Summary'!F36</f>
        <v>167215</v>
      </c>
      <c r="G15" s="158">
        <f>'2026 Sales Summary'!G36</f>
        <v>169335</v>
      </c>
      <c r="H15" s="158">
        <f>'2026 Sales Summary'!H36</f>
        <v>158205</v>
      </c>
      <c r="I15" s="158">
        <f>'2026 Sales Summary'!I36</f>
        <v>162710</v>
      </c>
      <c r="J15" s="158">
        <f>'2026 Sales Summary'!J36</f>
        <v>159000</v>
      </c>
      <c r="K15" s="158">
        <f>'2026 Sales Summary'!K36</f>
        <v>162710</v>
      </c>
      <c r="L15" s="158">
        <f>'2026 Sales Summary'!L36</f>
        <v>166950</v>
      </c>
      <c r="M15" s="158">
        <f>'2026 Sales Summary'!M36</f>
        <v>164830</v>
      </c>
      <c r="N15" s="158">
        <f>'2026 Sales Summary'!N36</f>
        <v>171190</v>
      </c>
      <c r="O15" s="158">
        <f>'2026 Sales Summary'!O36</f>
        <v>171720</v>
      </c>
      <c r="P15" s="158">
        <f>'2026 Sales Summary'!P36</f>
        <v>170130</v>
      </c>
      <c r="Q15" s="158">
        <f>'2026 Sales Summary'!Q36</f>
        <v>170660</v>
      </c>
      <c r="R15" s="158">
        <f>'IS 2027'!F15</f>
        <v>245100</v>
      </c>
      <c r="S15" s="158">
        <f>'IS 2027'!G15</f>
        <v>251180</v>
      </c>
      <c r="T15" s="158">
        <f>'IS 2027'!H15</f>
        <v>253080</v>
      </c>
      <c r="U15" s="13"/>
    </row>
    <row r="16" spans="1:42" x14ac:dyDescent="0.3">
      <c r="A16" s="13"/>
      <c r="B16" s="13"/>
      <c r="C16" s="145" t="s">
        <v>341</v>
      </c>
      <c r="D16" s="13"/>
      <c r="E16" s="13"/>
      <c r="F16" s="158">
        <f>'2026 Sales Summary'!F39</f>
        <v>373290</v>
      </c>
      <c r="G16" s="158">
        <f>'2026 Sales Summary'!G39</f>
        <v>377775</v>
      </c>
      <c r="H16" s="158">
        <f>'2026 Sales Summary'!H39</f>
        <v>353280</v>
      </c>
      <c r="I16" s="158">
        <f>'2026 Sales Summary'!I39</f>
        <v>695175</v>
      </c>
      <c r="J16" s="158">
        <f>'2026 Sales Summary'!J39</f>
        <v>359835</v>
      </c>
      <c r="K16" s="158">
        <f>'2026 Sales Summary'!K39</f>
        <v>362250</v>
      </c>
      <c r="L16" s="158">
        <f>'2026 Sales Summary'!L39</f>
        <v>372945</v>
      </c>
      <c r="M16" s="158">
        <f>'2026 Sales Summary'!M39</f>
        <v>367770</v>
      </c>
      <c r="N16" s="158">
        <f>'2026 Sales Summary'!N39</f>
        <v>381570</v>
      </c>
      <c r="O16" s="158">
        <f>'2026 Sales Summary'!O39</f>
        <v>383295</v>
      </c>
      <c r="P16" s="158">
        <f>'2026 Sales Summary'!P39</f>
        <v>394680</v>
      </c>
      <c r="Q16" s="158">
        <f>'2026 Sales Summary'!Q39</f>
        <v>425730</v>
      </c>
      <c r="R16" s="158">
        <f>'IS 2027'!F16</f>
        <v>519820</v>
      </c>
      <c r="S16" s="158">
        <f>'IS 2027'!G16</f>
        <v>532510</v>
      </c>
      <c r="T16" s="158">
        <f>'IS 2027'!H16</f>
        <v>536270</v>
      </c>
      <c r="U16" s="13"/>
    </row>
    <row r="17" spans="1:21" x14ac:dyDescent="0.3">
      <c r="A17" s="150"/>
      <c r="B17" s="150"/>
      <c r="C17" s="153" t="s">
        <v>119</v>
      </c>
      <c r="D17" s="150"/>
      <c r="E17" s="150"/>
      <c r="F17" s="151">
        <f t="shared" ref="F17:H17" si="0">SUM(F12:F16)</f>
        <v>604075</v>
      </c>
      <c r="G17" s="151">
        <f t="shared" si="0"/>
        <v>611500</v>
      </c>
      <c r="H17" s="151">
        <f t="shared" si="0"/>
        <v>571645</v>
      </c>
      <c r="I17" s="151">
        <f>SUM(I12:I16)</f>
        <v>919695</v>
      </c>
      <c r="J17" s="151">
        <f t="shared" ref="J17:T17" si="1">SUM(J12:J16)</f>
        <v>580055</v>
      </c>
      <c r="K17" s="151">
        <f t="shared" si="1"/>
        <v>586650</v>
      </c>
      <c r="L17" s="151">
        <f t="shared" si="1"/>
        <v>603345</v>
      </c>
      <c r="M17" s="151">
        <f t="shared" si="1"/>
        <v>595110</v>
      </c>
      <c r="N17" s="151">
        <f t="shared" si="1"/>
        <v>617740</v>
      </c>
      <c r="O17" s="151">
        <f t="shared" si="1"/>
        <v>620345</v>
      </c>
      <c r="P17" s="151">
        <f t="shared" si="1"/>
        <v>629320</v>
      </c>
      <c r="Q17" s="151">
        <f t="shared" si="1"/>
        <v>661710</v>
      </c>
      <c r="R17" s="151">
        <f t="shared" si="1"/>
        <v>883175</v>
      </c>
      <c r="S17" s="151">
        <f t="shared" si="1"/>
        <v>904835</v>
      </c>
      <c r="T17" s="151">
        <f t="shared" si="1"/>
        <v>911350</v>
      </c>
      <c r="U17" s="162">
        <f>SUM(F17:Q17)</f>
        <v>7601190</v>
      </c>
    </row>
    <row r="18" spans="1:21" x14ac:dyDescent="0.3">
      <c r="A18" s="152"/>
      <c r="B18" s="152"/>
      <c r="C18" s="160" t="s">
        <v>120</v>
      </c>
      <c r="D18" s="152"/>
      <c r="E18" s="152"/>
      <c r="F18" s="161">
        <f>SUM(F19:F24)</f>
        <v>8610</v>
      </c>
      <c r="G18" s="161">
        <f t="shared" ref="G18:T18" si="2">SUM(G19:G24)</f>
        <v>8610</v>
      </c>
      <c r="H18" s="161">
        <f t="shared" si="2"/>
        <v>8610</v>
      </c>
      <c r="I18" s="161">
        <f t="shared" si="2"/>
        <v>8610</v>
      </c>
      <c r="J18" s="161">
        <f t="shared" si="2"/>
        <v>8610</v>
      </c>
      <c r="K18" s="161">
        <f t="shared" si="2"/>
        <v>8610</v>
      </c>
      <c r="L18" s="161">
        <f t="shared" si="2"/>
        <v>8610</v>
      </c>
      <c r="M18" s="161">
        <f t="shared" si="2"/>
        <v>8610</v>
      </c>
      <c r="N18" s="161">
        <f t="shared" si="2"/>
        <v>8610</v>
      </c>
      <c r="O18" s="161">
        <f t="shared" si="2"/>
        <v>8610</v>
      </c>
      <c r="P18" s="161">
        <f t="shared" si="2"/>
        <v>8610</v>
      </c>
      <c r="Q18" s="161">
        <f t="shared" si="2"/>
        <v>8610</v>
      </c>
      <c r="R18" s="161">
        <f t="shared" si="2"/>
        <v>8610</v>
      </c>
      <c r="S18" s="161">
        <f t="shared" si="2"/>
        <v>8610</v>
      </c>
      <c r="T18" s="161">
        <f t="shared" si="2"/>
        <v>8610</v>
      </c>
      <c r="U18" s="156">
        <f t="shared" ref="U18:U65" si="3">SUM(F18:Q18)</f>
        <v>103320</v>
      </c>
    </row>
    <row r="19" spans="1:21" x14ac:dyDescent="0.3">
      <c r="A19" s="13"/>
      <c r="B19" s="13"/>
      <c r="C19" s="145" t="s">
        <v>204</v>
      </c>
      <c r="D19" s="13"/>
      <c r="E19" s="13"/>
      <c r="F19" s="142">
        <f>--9500</f>
        <v>9500</v>
      </c>
      <c r="G19" s="142">
        <f t="shared" ref="G19:T19" si="4">--9500</f>
        <v>9500</v>
      </c>
      <c r="H19" s="142">
        <f t="shared" si="4"/>
        <v>9500</v>
      </c>
      <c r="I19" s="142">
        <f t="shared" si="4"/>
        <v>9500</v>
      </c>
      <c r="J19" s="142">
        <f t="shared" si="4"/>
        <v>9500</v>
      </c>
      <c r="K19" s="142">
        <f t="shared" si="4"/>
        <v>9500</v>
      </c>
      <c r="L19" s="142">
        <f t="shared" si="4"/>
        <v>9500</v>
      </c>
      <c r="M19" s="142">
        <f t="shared" si="4"/>
        <v>9500</v>
      </c>
      <c r="N19" s="142">
        <f t="shared" si="4"/>
        <v>9500</v>
      </c>
      <c r="O19" s="142">
        <f t="shared" si="4"/>
        <v>9500</v>
      </c>
      <c r="P19" s="142">
        <f t="shared" si="4"/>
        <v>9500</v>
      </c>
      <c r="Q19" s="142">
        <f t="shared" si="4"/>
        <v>9500</v>
      </c>
      <c r="R19" s="142">
        <f t="shared" si="4"/>
        <v>9500</v>
      </c>
      <c r="S19" s="142">
        <f t="shared" si="4"/>
        <v>9500</v>
      </c>
      <c r="T19" s="142">
        <f t="shared" si="4"/>
        <v>9500</v>
      </c>
      <c r="U19" s="158">
        <f t="shared" si="3"/>
        <v>114000</v>
      </c>
    </row>
    <row r="20" spans="1:21" x14ac:dyDescent="0.3">
      <c r="A20" s="13"/>
      <c r="B20" s="13"/>
      <c r="C20" s="145" t="s">
        <v>325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>
        <v>-700</v>
      </c>
      <c r="S20" s="143">
        <v>-700</v>
      </c>
      <c r="T20" s="143">
        <v>-700</v>
      </c>
      <c r="U20" s="158">
        <f t="shared" si="3"/>
        <v>-8400</v>
      </c>
    </row>
    <row r="21" spans="1:21" x14ac:dyDescent="0.3">
      <c r="A21" s="13"/>
      <c r="B21" s="13"/>
      <c r="C21" s="145" t="s">
        <v>321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>
        <v>-125</v>
      </c>
      <c r="S21" s="143">
        <v>-125</v>
      </c>
      <c r="T21" s="143">
        <v>-125</v>
      </c>
      <c r="U21" s="158">
        <f t="shared" si="3"/>
        <v>-1500</v>
      </c>
    </row>
    <row r="22" spans="1:21" x14ac:dyDescent="0.3">
      <c r="A22" s="13"/>
      <c r="B22" s="13"/>
      <c r="C22" s="145" t="s">
        <v>322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>
        <v>-65</v>
      </c>
      <c r="S22" s="143">
        <v>-65</v>
      </c>
      <c r="T22" s="143">
        <v>-65</v>
      </c>
      <c r="U22" s="158">
        <f t="shared" si="3"/>
        <v>-780</v>
      </c>
    </row>
    <row r="23" spans="1:21" x14ac:dyDescent="0.3">
      <c r="A23" s="13"/>
      <c r="B23" s="13"/>
      <c r="C23" s="145" t="s">
        <v>208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209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3"/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63"/>
      <c r="B26" s="163"/>
      <c r="C26" s="164" t="s">
        <v>4</v>
      </c>
      <c r="D26" s="163"/>
      <c r="E26" s="163"/>
      <c r="F26" s="165">
        <f>SUM(F17+F18)</f>
        <v>612685</v>
      </c>
      <c r="G26" s="165">
        <f t="shared" ref="G26:T26" si="5">SUM(G17+G18)</f>
        <v>620110</v>
      </c>
      <c r="H26" s="165">
        <f t="shared" si="5"/>
        <v>580255</v>
      </c>
      <c r="I26" s="165">
        <f t="shared" si="5"/>
        <v>928305</v>
      </c>
      <c r="J26" s="165">
        <f t="shared" si="5"/>
        <v>588665</v>
      </c>
      <c r="K26" s="165">
        <f t="shared" si="5"/>
        <v>595260</v>
      </c>
      <c r="L26" s="165">
        <f t="shared" si="5"/>
        <v>611955</v>
      </c>
      <c r="M26" s="165">
        <f t="shared" si="5"/>
        <v>603720</v>
      </c>
      <c r="N26" s="165">
        <f t="shared" si="5"/>
        <v>626350</v>
      </c>
      <c r="O26" s="165">
        <f t="shared" si="5"/>
        <v>628955</v>
      </c>
      <c r="P26" s="165">
        <f t="shared" si="5"/>
        <v>637930</v>
      </c>
      <c r="Q26" s="165">
        <f t="shared" si="5"/>
        <v>670320</v>
      </c>
      <c r="R26" s="165">
        <f t="shared" si="5"/>
        <v>891785</v>
      </c>
      <c r="S26" s="165">
        <f t="shared" si="5"/>
        <v>913445</v>
      </c>
      <c r="T26" s="165">
        <f t="shared" si="5"/>
        <v>919960</v>
      </c>
      <c r="U26" s="308">
        <f t="shared" si="3"/>
        <v>7704510</v>
      </c>
    </row>
    <row r="27" spans="1:21" ht="15" customHeight="1" x14ac:dyDescent="0.3">
      <c r="A27" s="13"/>
      <c r="B27" s="13"/>
      <c r="C27" s="143"/>
      <c r="D27" s="13"/>
      <c r="E27" s="1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0"/>
    </row>
    <row r="28" spans="1:21" ht="15" customHeight="1" x14ac:dyDescent="0.3">
      <c r="A28" s="13"/>
      <c r="B28" s="13"/>
      <c r="C28" s="144" t="s">
        <v>6</v>
      </c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ht="15" customHeight="1" x14ac:dyDescent="0.3">
      <c r="A29" s="13"/>
      <c r="B29" s="13"/>
      <c r="C29" s="145" t="s">
        <v>314</v>
      </c>
      <c r="D29" s="13"/>
      <c r="E29" s="13"/>
      <c r="F29" s="158">
        <v>-975</v>
      </c>
      <c r="G29" s="158">
        <v>-975</v>
      </c>
      <c r="H29" s="158">
        <v>-975</v>
      </c>
      <c r="I29" s="158">
        <v>-975</v>
      </c>
      <c r="J29" s="158">
        <v>-975</v>
      </c>
      <c r="K29" s="158">
        <v>-975</v>
      </c>
      <c r="L29" s="158">
        <v>-975</v>
      </c>
      <c r="M29" s="158">
        <v>-975</v>
      </c>
      <c r="N29" s="158">
        <v>-975</v>
      </c>
      <c r="O29" s="158">
        <v>-975</v>
      </c>
      <c r="P29" s="158">
        <v>-975</v>
      </c>
      <c r="Q29" s="158">
        <v>-975</v>
      </c>
      <c r="R29" s="158">
        <v>-975</v>
      </c>
      <c r="S29" s="158">
        <v>-975</v>
      </c>
      <c r="T29" s="158">
        <v>-975</v>
      </c>
      <c r="U29" s="158">
        <f t="shared" si="3"/>
        <v>-11700</v>
      </c>
    </row>
    <row r="30" spans="1:21" ht="15" customHeight="1" x14ac:dyDescent="0.3">
      <c r="A30" s="13"/>
      <c r="B30" s="13"/>
      <c r="C30" s="145" t="s">
        <v>315</v>
      </c>
      <c r="D30" s="13"/>
      <c r="E30" s="13"/>
      <c r="F30" s="158">
        <v>-300</v>
      </c>
      <c r="G30" s="158">
        <v>-300</v>
      </c>
      <c r="H30" s="158">
        <v>-300</v>
      </c>
      <c r="I30" s="158">
        <v>-300</v>
      </c>
      <c r="J30" s="158">
        <v>-300</v>
      </c>
      <c r="K30" s="158">
        <v>-300</v>
      </c>
      <c r="L30" s="158">
        <v>-300</v>
      </c>
      <c r="M30" s="158">
        <v>-300</v>
      </c>
      <c r="N30" s="158">
        <v>-300</v>
      </c>
      <c r="O30" s="158">
        <v>-300</v>
      </c>
      <c r="P30" s="158">
        <v>-300</v>
      </c>
      <c r="Q30" s="158">
        <v>-300</v>
      </c>
      <c r="R30" s="158">
        <v>-300</v>
      </c>
      <c r="S30" s="158">
        <v>-300</v>
      </c>
      <c r="T30" s="158">
        <v>-300</v>
      </c>
      <c r="U30" s="158">
        <f t="shared" si="3"/>
        <v>-3600</v>
      </c>
    </row>
    <row r="31" spans="1:21" ht="15" customHeight="1" x14ac:dyDescent="0.3">
      <c r="A31" s="13"/>
      <c r="B31" s="13"/>
      <c r="C31" s="145" t="s">
        <v>287</v>
      </c>
      <c r="D31" s="13"/>
      <c r="E31" s="13"/>
      <c r="F31" s="158">
        <v>-300</v>
      </c>
      <c r="G31" s="158">
        <v>-300</v>
      </c>
      <c r="H31" s="158">
        <v>-300</v>
      </c>
      <c r="I31" s="158">
        <v>-300</v>
      </c>
      <c r="J31" s="158">
        <v>-300</v>
      </c>
      <c r="K31" s="158">
        <v>-300</v>
      </c>
      <c r="L31" s="158">
        <v>-300</v>
      </c>
      <c r="M31" s="158">
        <v>-300</v>
      </c>
      <c r="N31" s="158">
        <v>-300</v>
      </c>
      <c r="O31" s="158">
        <v>-300</v>
      </c>
      <c r="P31" s="158">
        <v>-300</v>
      </c>
      <c r="Q31" s="158">
        <v>-300</v>
      </c>
      <c r="R31" s="158">
        <v>-300</v>
      </c>
      <c r="S31" s="158">
        <v>-300</v>
      </c>
      <c r="T31" s="158">
        <v>-300</v>
      </c>
      <c r="U31" s="158">
        <f t="shared" si="3"/>
        <v>-3600</v>
      </c>
    </row>
    <row r="32" spans="1:21" ht="15" customHeight="1" x14ac:dyDescent="0.3">
      <c r="A32" s="13"/>
      <c r="B32" s="13"/>
      <c r="C32" s="145" t="s">
        <v>323</v>
      </c>
      <c r="D32" s="13"/>
      <c r="E32" s="13"/>
      <c r="F32" s="380">
        <v>-710</v>
      </c>
      <c r="G32" s="380">
        <v>-710</v>
      </c>
      <c r="H32" s="380">
        <v>-710</v>
      </c>
      <c r="I32" s="380">
        <v>-710</v>
      </c>
      <c r="J32" s="380">
        <v>-710</v>
      </c>
      <c r="K32" s="380">
        <v>-710</v>
      </c>
      <c r="L32" s="380">
        <v>-710</v>
      </c>
      <c r="M32" s="380">
        <v>-710</v>
      </c>
      <c r="N32" s="380">
        <v>-710</v>
      </c>
      <c r="O32" s="380">
        <v>-710</v>
      </c>
      <c r="P32" s="380">
        <v>-710</v>
      </c>
      <c r="Q32" s="380">
        <v>-710</v>
      </c>
      <c r="R32" s="380">
        <v>-710</v>
      </c>
      <c r="S32" s="380">
        <v>-710</v>
      </c>
      <c r="T32" s="380">
        <v>-710</v>
      </c>
      <c r="U32" s="158">
        <f t="shared" si="3"/>
        <v>-8520</v>
      </c>
    </row>
    <row r="33" spans="1:21" ht="15" customHeight="1" x14ac:dyDescent="0.3">
      <c r="A33" s="13"/>
      <c r="B33" s="13"/>
      <c r="C33" s="145" t="s">
        <v>124</v>
      </c>
      <c r="D33" s="13"/>
      <c r="E33" s="13"/>
      <c r="F33" s="159" t="s">
        <v>146</v>
      </c>
      <c r="G33" s="159" t="s">
        <v>146</v>
      </c>
      <c r="H33" s="159" t="s">
        <v>146</v>
      </c>
      <c r="I33" s="159" t="s">
        <v>146</v>
      </c>
      <c r="J33" s="159" t="s">
        <v>146</v>
      </c>
      <c r="K33" s="159" t="s">
        <v>146</v>
      </c>
      <c r="L33" s="159" t="s">
        <v>146</v>
      </c>
      <c r="M33" s="159" t="s">
        <v>146</v>
      </c>
      <c r="N33" s="159" t="s">
        <v>146</v>
      </c>
      <c r="O33" s="159" t="s">
        <v>146</v>
      </c>
      <c r="P33" s="159" t="s">
        <v>146</v>
      </c>
      <c r="Q33" s="159" t="s">
        <v>146</v>
      </c>
      <c r="R33" s="159" t="s">
        <v>146</v>
      </c>
      <c r="S33" s="159" t="s">
        <v>146</v>
      </c>
      <c r="T33" s="159" t="s">
        <v>146</v>
      </c>
      <c r="U33" s="140"/>
    </row>
    <row r="34" spans="1:21" ht="15" customHeight="1" x14ac:dyDescent="0.3">
      <c r="A34" s="13"/>
      <c r="B34" s="13"/>
      <c r="C34" s="145" t="s">
        <v>125</v>
      </c>
      <c r="D34" s="13"/>
      <c r="E34" s="13"/>
      <c r="F34" s="306" t="s">
        <v>146</v>
      </c>
      <c r="G34" s="306" t="s">
        <v>146</v>
      </c>
      <c r="H34" s="306" t="s">
        <v>146</v>
      </c>
      <c r="I34" s="306" t="s">
        <v>146</v>
      </c>
      <c r="J34" s="306" t="s">
        <v>146</v>
      </c>
      <c r="K34" s="306" t="s">
        <v>146</v>
      </c>
      <c r="L34" s="306" t="s">
        <v>146</v>
      </c>
      <c r="M34" s="306" t="s">
        <v>146</v>
      </c>
      <c r="N34" s="306" t="s">
        <v>146</v>
      </c>
      <c r="O34" s="306" t="s">
        <v>146</v>
      </c>
      <c r="P34" s="306" t="s">
        <v>146</v>
      </c>
      <c r="Q34" s="306" t="s">
        <v>146</v>
      </c>
      <c r="R34" s="306" t="s">
        <v>146</v>
      </c>
      <c r="S34" s="306" t="s">
        <v>146</v>
      </c>
      <c r="T34" s="306" t="s">
        <v>146</v>
      </c>
      <c r="U34" s="140"/>
    </row>
    <row r="35" spans="1:21" ht="15" customHeight="1" x14ac:dyDescent="0.3">
      <c r="A35" s="13"/>
      <c r="B35" s="13"/>
      <c r="C35" s="145" t="s">
        <v>126</v>
      </c>
      <c r="D35" s="13"/>
      <c r="E35" s="13"/>
      <c r="F35" s="306" t="s">
        <v>146</v>
      </c>
      <c r="G35" s="306" t="s">
        <v>146</v>
      </c>
      <c r="H35" s="306" t="s">
        <v>146</v>
      </c>
      <c r="I35" s="306" t="s">
        <v>146</v>
      </c>
      <c r="J35" s="306" t="s">
        <v>146</v>
      </c>
      <c r="K35" s="306" t="s">
        <v>146</v>
      </c>
      <c r="L35" s="306" t="s">
        <v>146</v>
      </c>
      <c r="M35" s="306" t="s">
        <v>146</v>
      </c>
      <c r="N35" s="306" t="s">
        <v>146</v>
      </c>
      <c r="O35" s="306" t="s">
        <v>146</v>
      </c>
      <c r="P35" s="306" t="s">
        <v>146</v>
      </c>
      <c r="Q35" s="306" t="s">
        <v>146</v>
      </c>
      <c r="R35" s="306" t="s">
        <v>146</v>
      </c>
      <c r="S35" s="306" t="s">
        <v>146</v>
      </c>
      <c r="T35" s="306" t="s">
        <v>146</v>
      </c>
      <c r="U35" s="140"/>
    </row>
    <row r="36" spans="1:21" ht="15" customHeight="1" x14ac:dyDescent="0.3">
      <c r="A36" s="13"/>
      <c r="B36" s="13"/>
      <c r="C36" s="145" t="s">
        <v>127</v>
      </c>
      <c r="D36" s="13"/>
      <c r="E36" s="13"/>
      <c r="F36" s="306" t="s">
        <v>146</v>
      </c>
      <c r="G36" s="306" t="s">
        <v>146</v>
      </c>
      <c r="H36" s="306" t="s">
        <v>146</v>
      </c>
      <c r="I36" s="306" t="s">
        <v>146</v>
      </c>
      <c r="J36" s="306" t="s">
        <v>146</v>
      </c>
      <c r="K36" s="306" t="s">
        <v>146</v>
      </c>
      <c r="L36" s="306" t="s">
        <v>146</v>
      </c>
      <c r="M36" s="306" t="s">
        <v>146</v>
      </c>
      <c r="N36" s="306" t="s">
        <v>146</v>
      </c>
      <c r="O36" s="306" t="s">
        <v>146</v>
      </c>
      <c r="P36" s="306" t="s">
        <v>146</v>
      </c>
      <c r="Q36" s="306" t="s">
        <v>146</v>
      </c>
      <c r="R36" s="306" t="s">
        <v>146</v>
      </c>
      <c r="S36" s="306" t="s">
        <v>146</v>
      </c>
      <c r="T36" s="306" t="s">
        <v>146</v>
      </c>
      <c r="U36" s="140"/>
    </row>
    <row r="37" spans="1:21" ht="15.6" customHeight="1" x14ac:dyDescent="0.3">
      <c r="A37" s="13"/>
      <c r="B37" s="13"/>
      <c r="C37" s="145"/>
      <c r="D37" s="13"/>
      <c r="E37" s="13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40"/>
    </row>
    <row r="38" spans="1:21" x14ac:dyDescent="0.3">
      <c r="A38" s="154"/>
      <c r="B38" s="154"/>
      <c r="C38" s="181" t="s">
        <v>128</v>
      </c>
      <c r="D38" s="154"/>
      <c r="E38" s="154"/>
      <c r="F38" s="162">
        <f t="shared" ref="F38:H38" si="6">SUM(F29:F36)</f>
        <v>-2285</v>
      </c>
      <c r="G38" s="162">
        <f t="shared" si="6"/>
        <v>-2285</v>
      </c>
      <c r="H38" s="162">
        <f t="shared" si="6"/>
        <v>-2285</v>
      </c>
      <c r="I38" s="162">
        <f t="shared" ref="I38:T38" si="7">SUM(I29:I36)</f>
        <v>-2285</v>
      </c>
      <c r="J38" s="162">
        <f t="shared" si="7"/>
        <v>-2285</v>
      </c>
      <c r="K38" s="162">
        <f t="shared" si="7"/>
        <v>-2285</v>
      </c>
      <c r="L38" s="162">
        <f t="shared" si="7"/>
        <v>-2285</v>
      </c>
      <c r="M38" s="162">
        <f t="shared" si="7"/>
        <v>-2285</v>
      </c>
      <c r="N38" s="162">
        <f t="shared" si="7"/>
        <v>-2285</v>
      </c>
      <c r="O38" s="162">
        <f t="shared" si="7"/>
        <v>-2285</v>
      </c>
      <c r="P38" s="162">
        <f t="shared" si="7"/>
        <v>-2285</v>
      </c>
      <c r="Q38" s="162">
        <f t="shared" si="7"/>
        <v>-2285</v>
      </c>
      <c r="R38" s="162">
        <f t="shared" si="7"/>
        <v>-2285</v>
      </c>
      <c r="S38" s="162">
        <f t="shared" si="7"/>
        <v>-2285</v>
      </c>
      <c r="T38" s="162">
        <f t="shared" si="7"/>
        <v>-2285</v>
      </c>
      <c r="U38" s="162">
        <f t="shared" si="3"/>
        <v>-27420</v>
      </c>
    </row>
    <row r="39" spans="1:21" x14ac:dyDescent="0.3">
      <c r="A39" s="155"/>
      <c r="B39" s="155"/>
      <c r="C39" s="192" t="s">
        <v>129</v>
      </c>
      <c r="D39" s="155"/>
      <c r="E39" s="155"/>
      <c r="F39" s="156">
        <v>-45063</v>
      </c>
      <c r="G39" s="156">
        <v>-45063</v>
      </c>
      <c r="H39" s="156">
        <v>-45063</v>
      </c>
      <c r="I39" s="156">
        <v>-45063</v>
      </c>
      <c r="J39" s="156">
        <v>-45063</v>
      </c>
      <c r="K39" s="156">
        <v>-45063</v>
      </c>
      <c r="L39" s="156">
        <v>-45063</v>
      </c>
      <c r="M39" s="156">
        <v>-45063</v>
      </c>
      <c r="N39" s="156">
        <v>-45063</v>
      </c>
      <c r="O39" s="156">
        <v>-45063</v>
      </c>
      <c r="P39" s="156">
        <v>-45063</v>
      </c>
      <c r="Q39" s="156">
        <v>-45063</v>
      </c>
      <c r="R39" s="156">
        <v>-45063</v>
      </c>
      <c r="S39" s="156">
        <v>-45063</v>
      </c>
      <c r="T39" s="156">
        <v>-45063</v>
      </c>
      <c r="U39" s="156">
        <f t="shared" si="3"/>
        <v>-540756</v>
      </c>
    </row>
    <row r="40" spans="1:21" x14ac:dyDescent="0.3">
      <c r="A40" s="13"/>
      <c r="B40" s="13"/>
      <c r="C40" s="143"/>
      <c r="D40" s="13"/>
      <c r="E40" s="1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0"/>
    </row>
    <row r="41" spans="1:21" x14ac:dyDescent="0.3">
      <c r="A41" s="13"/>
      <c r="B41" s="13"/>
      <c r="C41" s="144" t="s">
        <v>31</v>
      </c>
      <c r="D41" s="13"/>
      <c r="E41" s="1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0"/>
    </row>
    <row r="42" spans="1:21" x14ac:dyDescent="0.3">
      <c r="A42" s="13"/>
      <c r="B42" s="13"/>
      <c r="C42" s="143" t="s">
        <v>324</v>
      </c>
      <c r="D42" s="13"/>
      <c r="E42" s="13"/>
      <c r="F42" s="158">
        <v>-1750</v>
      </c>
      <c r="G42" s="158">
        <v>-1750</v>
      </c>
      <c r="H42" s="158">
        <v>-1750</v>
      </c>
      <c r="I42" s="158">
        <v>-1750</v>
      </c>
      <c r="J42" s="158">
        <v>-1750</v>
      </c>
      <c r="K42" s="158">
        <v>-1750</v>
      </c>
      <c r="L42" s="158">
        <v>-1750</v>
      </c>
      <c r="M42" s="158">
        <v>-1750</v>
      </c>
      <c r="N42" s="158">
        <v>-1750</v>
      </c>
      <c r="O42" s="158">
        <v>-1750</v>
      </c>
      <c r="P42" s="158">
        <v>-1750</v>
      </c>
      <c r="Q42" s="158">
        <v>-1750</v>
      </c>
      <c r="R42" s="158">
        <v>-1750</v>
      </c>
      <c r="S42" s="158">
        <v>-1750</v>
      </c>
      <c r="T42" s="158">
        <v>-1750</v>
      </c>
      <c r="U42" s="158">
        <f t="shared" si="3"/>
        <v>-21000</v>
      </c>
    </row>
    <row r="43" spans="1:21" x14ac:dyDescent="0.3">
      <c r="A43" s="13"/>
      <c r="B43" s="13"/>
      <c r="C43" s="143" t="s">
        <v>325</v>
      </c>
      <c r="D43" s="13"/>
      <c r="E43" s="13"/>
      <c r="F43" s="158">
        <v>-2550</v>
      </c>
      <c r="G43" s="158">
        <v>-2550</v>
      </c>
      <c r="H43" s="158">
        <v>-2550</v>
      </c>
      <c r="I43" s="158">
        <v>-2550</v>
      </c>
      <c r="J43" s="158">
        <v>-2550</v>
      </c>
      <c r="K43" s="158">
        <v>-2550</v>
      </c>
      <c r="L43" s="158">
        <v>-2550</v>
      </c>
      <c r="M43" s="158">
        <v>-2550</v>
      </c>
      <c r="N43" s="158">
        <v>-2550</v>
      </c>
      <c r="O43" s="158">
        <v>-2550</v>
      </c>
      <c r="P43" s="158">
        <v>-2550</v>
      </c>
      <c r="Q43" s="158">
        <v>-2550</v>
      </c>
      <c r="R43" s="158">
        <v>-2550</v>
      </c>
      <c r="S43" s="158">
        <v>-2550</v>
      </c>
      <c r="T43" s="158">
        <v>-2550</v>
      </c>
      <c r="U43" s="158">
        <f t="shared" si="3"/>
        <v>-30600</v>
      </c>
    </row>
    <row r="44" spans="1:21" x14ac:dyDescent="0.3">
      <c r="A44" s="13"/>
      <c r="B44" s="13"/>
      <c r="C44" s="143" t="s">
        <v>326</v>
      </c>
      <c r="D44" s="13"/>
      <c r="E44" s="13"/>
      <c r="F44" s="158">
        <v>-700</v>
      </c>
      <c r="G44" s="158">
        <v>-700</v>
      </c>
      <c r="H44" s="158">
        <v>-700</v>
      </c>
      <c r="I44" s="158">
        <v>-700</v>
      </c>
      <c r="J44" s="158">
        <v>-700</v>
      </c>
      <c r="K44" s="158">
        <v>-700</v>
      </c>
      <c r="L44" s="158">
        <v>-700</v>
      </c>
      <c r="M44" s="158">
        <v>-700</v>
      </c>
      <c r="N44" s="158">
        <v>-700</v>
      </c>
      <c r="O44" s="158">
        <v>-700</v>
      </c>
      <c r="P44" s="158">
        <v>-700</v>
      </c>
      <c r="Q44" s="158">
        <v>-700</v>
      </c>
      <c r="R44" s="158">
        <v>-700</v>
      </c>
      <c r="S44" s="158">
        <v>-700</v>
      </c>
      <c r="T44" s="158">
        <v>-700</v>
      </c>
      <c r="U44" s="158">
        <f t="shared" si="3"/>
        <v>-8400</v>
      </c>
    </row>
    <row r="45" spans="1:21" x14ac:dyDescent="0.3">
      <c r="A45" s="13"/>
      <c r="B45" s="13"/>
      <c r="C45" s="143" t="s">
        <v>327</v>
      </c>
      <c r="D45" s="13"/>
      <c r="E45" s="13"/>
      <c r="F45" s="158">
        <v>-1350</v>
      </c>
      <c r="G45" s="158">
        <v>-1350</v>
      </c>
      <c r="H45" s="158">
        <v>-1350</v>
      </c>
      <c r="I45" s="158">
        <v>-1350</v>
      </c>
      <c r="J45" s="158">
        <v>-1350</v>
      </c>
      <c r="K45" s="158">
        <v>-1350</v>
      </c>
      <c r="L45" s="158">
        <v>-1350</v>
      </c>
      <c r="M45" s="158">
        <v>-1350</v>
      </c>
      <c r="N45" s="158">
        <v>-1350</v>
      </c>
      <c r="O45" s="158">
        <v>-1350</v>
      </c>
      <c r="P45" s="158">
        <v>-1350</v>
      </c>
      <c r="Q45" s="158">
        <v>-1350</v>
      </c>
      <c r="R45" s="158">
        <v>-1350</v>
      </c>
      <c r="S45" s="158">
        <v>-1350</v>
      </c>
      <c r="T45" s="158">
        <v>-1350</v>
      </c>
      <c r="U45" s="158">
        <f t="shared" si="3"/>
        <v>-16200</v>
      </c>
    </row>
    <row r="46" spans="1:21" x14ac:dyDescent="0.3">
      <c r="A46" s="13"/>
      <c r="B46" s="13"/>
      <c r="C46" s="143" t="s">
        <v>328</v>
      </c>
      <c r="D46" s="13"/>
      <c r="E46" s="13"/>
      <c r="F46" s="158">
        <v>-1900</v>
      </c>
      <c r="G46" s="158">
        <v>-1900</v>
      </c>
      <c r="H46" s="158">
        <v>-1900</v>
      </c>
      <c r="I46" s="158">
        <v>-1900</v>
      </c>
      <c r="J46" s="158">
        <v>-1900</v>
      </c>
      <c r="K46" s="158">
        <v>-1900</v>
      </c>
      <c r="L46" s="158">
        <v>-1900</v>
      </c>
      <c r="M46" s="158">
        <v>-1900</v>
      </c>
      <c r="N46" s="158">
        <v>-1900</v>
      </c>
      <c r="O46" s="158">
        <v>-1900</v>
      </c>
      <c r="P46" s="158">
        <v>-1900</v>
      </c>
      <c r="Q46" s="158">
        <v>-1900</v>
      </c>
      <c r="R46" s="158">
        <v>-1900</v>
      </c>
      <c r="S46" s="158">
        <v>-1900</v>
      </c>
      <c r="T46" s="158">
        <v>-1900</v>
      </c>
      <c r="U46" s="158">
        <f t="shared" si="3"/>
        <v>-22800</v>
      </c>
    </row>
    <row r="47" spans="1:21" x14ac:dyDescent="0.3">
      <c r="A47" s="13"/>
      <c r="B47" s="13"/>
      <c r="C47" s="143" t="s">
        <v>131</v>
      </c>
      <c r="D47" s="13"/>
      <c r="E47" s="1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0"/>
    </row>
    <row r="48" spans="1:21" x14ac:dyDescent="0.3">
      <c r="A48" s="13"/>
      <c r="B48" s="13"/>
      <c r="C48" s="145" t="s">
        <v>132</v>
      </c>
      <c r="D48" s="13"/>
      <c r="E48" s="1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0"/>
    </row>
    <row r="49" spans="1:21" x14ac:dyDescent="0.3">
      <c r="A49" s="13"/>
      <c r="B49" s="13"/>
      <c r="C49" s="145" t="s">
        <v>133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134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135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136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137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138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139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x14ac:dyDescent="0.3">
      <c r="A56" s="13"/>
      <c r="B56" s="13"/>
      <c r="C56" s="145" t="s">
        <v>140</v>
      </c>
      <c r="D56" s="13"/>
      <c r="E56" s="1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0"/>
    </row>
    <row r="57" spans="1:21" x14ac:dyDescent="0.3">
      <c r="A57" s="13"/>
      <c r="B57" s="13"/>
      <c r="C57" s="145"/>
      <c r="D57" s="13"/>
      <c r="E57" s="1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0"/>
    </row>
    <row r="58" spans="1:21" s="119" customFormat="1" ht="14.4" customHeight="1" x14ac:dyDescent="0.3">
      <c r="A58" s="168"/>
      <c r="B58" s="168"/>
      <c r="C58" s="169" t="s">
        <v>141</v>
      </c>
      <c r="D58" s="168"/>
      <c r="E58" s="168"/>
      <c r="F58" s="170">
        <f t="shared" ref="F58:H58" si="8">SUM(F42:F56)</f>
        <v>-8250</v>
      </c>
      <c r="G58" s="170">
        <f t="shared" si="8"/>
        <v>-8250</v>
      </c>
      <c r="H58" s="170">
        <f t="shared" si="8"/>
        <v>-8250</v>
      </c>
      <c r="I58" s="170">
        <f t="shared" ref="I58:T58" si="9">SUM(I42:I56)</f>
        <v>-8250</v>
      </c>
      <c r="J58" s="170">
        <f t="shared" si="9"/>
        <v>-8250</v>
      </c>
      <c r="K58" s="170">
        <f t="shared" si="9"/>
        <v>-8250</v>
      </c>
      <c r="L58" s="170">
        <f t="shared" si="9"/>
        <v>-8250</v>
      </c>
      <c r="M58" s="170">
        <f t="shared" si="9"/>
        <v>-8250</v>
      </c>
      <c r="N58" s="170">
        <f t="shared" si="9"/>
        <v>-8250</v>
      </c>
      <c r="O58" s="170">
        <f t="shared" si="9"/>
        <v>-8250</v>
      </c>
      <c r="P58" s="170">
        <f t="shared" si="9"/>
        <v>-8250</v>
      </c>
      <c r="Q58" s="170">
        <f t="shared" si="9"/>
        <v>-8250</v>
      </c>
      <c r="R58" s="170">
        <f t="shared" si="9"/>
        <v>-8250</v>
      </c>
      <c r="S58" s="170">
        <f t="shared" si="9"/>
        <v>-8250</v>
      </c>
      <c r="T58" s="170">
        <f t="shared" si="9"/>
        <v>-8250</v>
      </c>
      <c r="U58" s="162">
        <f t="shared" si="3"/>
        <v>-99000</v>
      </c>
    </row>
    <row r="59" spans="1:21" s="119" customFormat="1" ht="14.4" customHeight="1" x14ac:dyDescent="0.3">
      <c r="A59" s="171"/>
      <c r="B59" s="171"/>
      <c r="C59" s="172" t="s">
        <v>10</v>
      </c>
      <c r="D59" s="171"/>
      <c r="E59" s="171"/>
      <c r="F59" s="173">
        <f>F17+F18+F38+F58</f>
        <v>602150</v>
      </c>
      <c r="G59" s="173">
        <f>G17+G18+G38+G58</f>
        <v>609575</v>
      </c>
      <c r="H59" s="173">
        <f t="shared" ref="H59:T59" si="10">H17+H18+H38+H58</f>
        <v>569720</v>
      </c>
      <c r="I59" s="173">
        <f t="shared" si="10"/>
        <v>917770</v>
      </c>
      <c r="J59" s="173">
        <f t="shared" si="10"/>
        <v>578130</v>
      </c>
      <c r="K59" s="173">
        <f t="shared" si="10"/>
        <v>584725</v>
      </c>
      <c r="L59" s="173">
        <f t="shared" si="10"/>
        <v>601420</v>
      </c>
      <c r="M59" s="173">
        <f t="shared" si="10"/>
        <v>593185</v>
      </c>
      <c r="N59" s="173">
        <f t="shared" si="10"/>
        <v>615815</v>
      </c>
      <c r="O59" s="173">
        <f t="shared" si="10"/>
        <v>618420</v>
      </c>
      <c r="P59" s="173">
        <f t="shared" si="10"/>
        <v>627395</v>
      </c>
      <c r="Q59" s="173">
        <f t="shared" si="10"/>
        <v>659785</v>
      </c>
      <c r="R59" s="173">
        <f t="shared" si="10"/>
        <v>881250</v>
      </c>
      <c r="S59" s="173">
        <f t="shared" si="10"/>
        <v>902910</v>
      </c>
      <c r="T59" s="173">
        <f t="shared" si="10"/>
        <v>909425</v>
      </c>
      <c r="U59" s="156">
        <f t="shared" si="3"/>
        <v>7578090</v>
      </c>
    </row>
    <row r="60" spans="1:21" s="119" customFormat="1" ht="14.4" customHeight="1" x14ac:dyDescent="0.3">
      <c r="A60" s="117"/>
      <c r="B60" s="117"/>
      <c r="C60" s="146" t="s">
        <v>142</v>
      </c>
      <c r="D60" s="117"/>
      <c r="E60" s="117"/>
      <c r="F60" s="382">
        <v>-1850</v>
      </c>
      <c r="G60" s="382">
        <v>-1850</v>
      </c>
      <c r="H60" s="382">
        <v>-1850</v>
      </c>
      <c r="I60" s="382">
        <v>-1711</v>
      </c>
      <c r="J60" s="382">
        <v>-1711</v>
      </c>
      <c r="K60" s="382">
        <v>-1711</v>
      </c>
      <c r="L60" s="382">
        <v>-1711</v>
      </c>
      <c r="M60" s="382">
        <v>-1711</v>
      </c>
      <c r="N60" s="382">
        <v>-1711</v>
      </c>
      <c r="O60" s="382">
        <v>-1711</v>
      </c>
      <c r="P60" s="382">
        <v>-1711</v>
      </c>
      <c r="Q60" s="382">
        <v>-1911</v>
      </c>
      <c r="R60" s="382">
        <v>-1911</v>
      </c>
      <c r="S60" s="382">
        <v>-1911</v>
      </c>
      <c r="T60" s="382">
        <v>-1911</v>
      </c>
      <c r="U60" s="382">
        <f t="shared" si="3"/>
        <v>-21149</v>
      </c>
    </row>
    <row r="61" spans="1:21" s="119" customFormat="1" ht="25.05" customHeight="1" x14ac:dyDescent="0.3">
      <c r="A61" s="117"/>
      <c r="B61" s="117"/>
      <c r="C61" s="146" t="s">
        <v>12</v>
      </c>
      <c r="D61" s="117"/>
      <c r="E61" s="117"/>
      <c r="F61" s="382">
        <f t="shared" ref="F61:H61" si="11">F59+F60</f>
        <v>600300</v>
      </c>
      <c r="G61" s="382">
        <f t="shared" si="11"/>
        <v>607725</v>
      </c>
      <c r="H61" s="382">
        <f t="shared" si="11"/>
        <v>567870</v>
      </c>
      <c r="I61" s="382">
        <f t="shared" ref="I61:T61" si="12">I59-I60</f>
        <v>919481</v>
      </c>
      <c r="J61" s="382">
        <f t="shared" si="12"/>
        <v>579841</v>
      </c>
      <c r="K61" s="382">
        <f t="shared" si="12"/>
        <v>586436</v>
      </c>
      <c r="L61" s="382">
        <f t="shared" si="12"/>
        <v>603131</v>
      </c>
      <c r="M61" s="382">
        <f t="shared" si="12"/>
        <v>594896</v>
      </c>
      <c r="N61" s="382">
        <f t="shared" si="12"/>
        <v>617526</v>
      </c>
      <c r="O61" s="382">
        <f t="shared" si="12"/>
        <v>620131</v>
      </c>
      <c r="P61" s="382">
        <f t="shared" si="12"/>
        <v>629106</v>
      </c>
      <c r="Q61" s="382">
        <f t="shared" si="12"/>
        <v>661696</v>
      </c>
      <c r="R61" s="382">
        <f t="shared" si="12"/>
        <v>883161</v>
      </c>
      <c r="S61" s="382">
        <f t="shared" si="12"/>
        <v>904821</v>
      </c>
      <c r="T61" s="382">
        <f t="shared" si="12"/>
        <v>911336</v>
      </c>
      <c r="U61" s="382">
        <f t="shared" si="3"/>
        <v>7588139</v>
      </c>
    </row>
    <row r="62" spans="1:21" s="119" customFormat="1" ht="25.05" customHeight="1" x14ac:dyDescent="0.3">
      <c r="A62" s="117"/>
      <c r="B62" s="117"/>
      <c r="C62" s="147" t="s">
        <v>143</v>
      </c>
      <c r="D62" s="148"/>
      <c r="E62" s="117"/>
      <c r="F62" s="382">
        <f>('BS 2026'!F27*0.2)</f>
        <v>-28216.800000000003</v>
      </c>
      <c r="G62" s="382">
        <f>('BS 2026'!G27*0.2)</f>
        <v>-23796.400000000001</v>
      </c>
      <c r="H62" s="382">
        <f>('BS 2026'!H27*0.2)</f>
        <v>-19376</v>
      </c>
      <c r="I62" s="382">
        <f>('BS 2026'!I27*0.2)</f>
        <v>-14955.6</v>
      </c>
      <c r="J62" s="382">
        <f>('BS 2026'!J27*0.2)</f>
        <v>-10535.2</v>
      </c>
      <c r="K62" s="382">
        <f>('BS 2026'!K27*0.2)</f>
        <v>-6114.8</v>
      </c>
      <c r="L62" s="382">
        <f>('BS 2026'!L27*0.2)</f>
        <v>-1694.4</v>
      </c>
      <c r="M62" s="382">
        <f>('BS 2026'!M27*0.2)</f>
        <v>0</v>
      </c>
      <c r="N62" s="382">
        <f>('BS 2026'!N27*0.2)</f>
        <v>0</v>
      </c>
      <c r="O62" s="382">
        <f>('BS 2026'!O27*0.2)</f>
        <v>0</v>
      </c>
      <c r="P62" s="382">
        <f>('BS 2026'!P27*0.2)</f>
        <v>0</v>
      </c>
      <c r="Q62" s="382">
        <f>('BS 2026'!Q27*0.2)</f>
        <v>0</v>
      </c>
      <c r="R62" s="382">
        <f>('BS 2026'!R27*0.2)</f>
        <v>0</v>
      </c>
      <c r="S62" s="382">
        <f>('BS 2026'!S27*0.2)</f>
        <v>0</v>
      </c>
      <c r="T62" s="382">
        <f>('BS 2026'!T27*0.2)</f>
        <v>0</v>
      </c>
      <c r="U62" s="382">
        <f>('BS 2026'!U27*0.2)</f>
        <v>-104689.20000000001</v>
      </c>
    </row>
    <row r="63" spans="1:21" s="119" customFormat="1" ht="25.05" customHeight="1" x14ac:dyDescent="0.3">
      <c r="A63" s="117"/>
      <c r="B63" s="117"/>
      <c r="C63" s="146" t="s">
        <v>14</v>
      </c>
      <c r="D63" s="117"/>
      <c r="E63" s="117"/>
      <c r="F63" s="382">
        <f>F59</f>
        <v>602150</v>
      </c>
      <c r="G63" s="382">
        <f t="shared" ref="G63:T63" si="13">G59</f>
        <v>609575</v>
      </c>
      <c r="H63" s="382">
        <f t="shared" si="13"/>
        <v>569720</v>
      </c>
      <c r="I63" s="382">
        <f t="shared" si="13"/>
        <v>917770</v>
      </c>
      <c r="J63" s="382">
        <f t="shared" si="13"/>
        <v>578130</v>
      </c>
      <c r="K63" s="382">
        <f t="shared" si="13"/>
        <v>584725</v>
      </c>
      <c r="L63" s="382">
        <f t="shared" si="13"/>
        <v>601420</v>
      </c>
      <c r="M63" s="382">
        <f t="shared" si="13"/>
        <v>593185</v>
      </c>
      <c r="N63" s="382">
        <f t="shared" si="13"/>
        <v>615815</v>
      </c>
      <c r="O63" s="382">
        <f t="shared" si="13"/>
        <v>618420</v>
      </c>
      <c r="P63" s="382">
        <f t="shared" si="13"/>
        <v>627395</v>
      </c>
      <c r="Q63" s="382">
        <f t="shared" si="13"/>
        <v>659785</v>
      </c>
      <c r="R63" s="382">
        <f t="shared" si="13"/>
        <v>881250</v>
      </c>
      <c r="S63" s="382">
        <f t="shared" si="13"/>
        <v>902910</v>
      </c>
      <c r="T63" s="382">
        <f t="shared" si="13"/>
        <v>909425</v>
      </c>
      <c r="U63" s="382">
        <f t="shared" si="3"/>
        <v>7578090</v>
      </c>
    </row>
    <row r="64" spans="1:21" s="119" customFormat="1" ht="25.05" customHeight="1" x14ac:dyDescent="0.3">
      <c r="A64" s="117"/>
      <c r="B64" s="117"/>
      <c r="C64" s="147" t="s">
        <v>15</v>
      </c>
      <c r="D64" s="117"/>
      <c r="E64" s="117"/>
      <c r="F64" s="382">
        <f>(F63*0.2)*-1</f>
        <v>-120430</v>
      </c>
      <c r="G64" s="382">
        <f t="shared" ref="G64:T64" si="14">(G63*0.2)*-1</f>
        <v>-121915</v>
      </c>
      <c r="H64" s="382">
        <f t="shared" si="14"/>
        <v>-113944</v>
      </c>
      <c r="I64" s="382">
        <f t="shared" si="14"/>
        <v>-183554</v>
      </c>
      <c r="J64" s="382">
        <f t="shared" si="14"/>
        <v>-115626</v>
      </c>
      <c r="K64" s="382">
        <f t="shared" si="14"/>
        <v>-116945</v>
      </c>
      <c r="L64" s="382">
        <f t="shared" si="14"/>
        <v>-120284</v>
      </c>
      <c r="M64" s="382">
        <f t="shared" si="14"/>
        <v>-118637</v>
      </c>
      <c r="N64" s="382">
        <f t="shared" si="14"/>
        <v>-123163</v>
      </c>
      <c r="O64" s="382">
        <f t="shared" si="14"/>
        <v>-123684</v>
      </c>
      <c r="P64" s="382">
        <f t="shared" si="14"/>
        <v>-125479</v>
      </c>
      <c r="Q64" s="382">
        <f t="shared" si="14"/>
        <v>-131957</v>
      </c>
      <c r="R64" s="382">
        <f t="shared" si="14"/>
        <v>-176250</v>
      </c>
      <c r="S64" s="382">
        <f t="shared" si="14"/>
        <v>-180582</v>
      </c>
      <c r="T64" s="382">
        <f t="shared" si="14"/>
        <v>-181885</v>
      </c>
      <c r="U64" s="382">
        <f t="shared" si="3"/>
        <v>-1515618</v>
      </c>
    </row>
    <row r="65" spans="1:21" s="119" customFormat="1" ht="14.4" customHeight="1" x14ac:dyDescent="0.3">
      <c r="A65" s="174"/>
      <c r="B65" s="174"/>
      <c r="C65" s="175" t="s">
        <v>16</v>
      </c>
      <c r="D65" s="174"/>
      <c r="E65" s="174"/>
      <c r="F65" s="311">
        <f>F63+F64</f>
        <v>481720</v>
      </c>
      <c r="G65" s="311">
        <f t="shared" ref="G65:T65" si="15">G63+G64</f>
        <v>487660</v>
      </c>
      <c r="H65" s="311">
        <f t="shared" si="15"/>
        <v>455776</v>
      </c>
      <c r="I65" s="311">
        <f t="shared" si="15"/>
        <v>734216</v>
      </c>
      <c r="J65" s="311">
        <f t="shared" si="15"/>
        <v>462504</v>
      </c>
      <c r="K65" s="311">
        <f t="shared" si="15"/>
        <v>467780</v>
      </c>
      <c r="L65" s="311">
        <f t="shared" si="15"/>
        <v>481136</v>
      </c>
      <c r="M65" s="311">
        <f t="shared" si="15"/>
        <v>474548</v>
      </c>
      <c r="N65" s="311">
        <f t="shared" si="15"/>
        <v>492652</v>
      </c>
      <c r="O65" s="311">
        <f t="shared" si="15"/>
        <v>494736</v>
      </c>
      <c r="P65" s="311">
        <f t="shared" si="15"/>
        <v>501916</v>
      </c>
      <c r="Q65" s="311">
        <f t="shared" si="15"/>
        <v>527828</v>
      </c>
      <c r="R65" s="311">
        <f t="shared" si="15"/>
        <v>705000</v>
      </c>
      <c r="S65" s="311">
        <f t="shared" si="15"/>
        <v>722328</v>
      </c>
      <c r="T65" s="311">
        <f t="shared" si="15"/>
        <v>727540</v>
      </c>
      <c r="U65" s="310">
        <f t="shared" si="3"/>
        <v>6062472</v>
      </c>
    </row>
    <row r="66" spans="1:21" x14ac:dyDescent="0.3">
      <c r="F66"/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</sheetData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F80B-76C2-48FF-8553-F077D6928C71}">
  <sheetPr codeName="Sheet32"/>
  <dimension ref="A2:V60"/>
  <sheetViews>
    <sheetView showGridLines="0" workbookViewId="0">
      <selection activeCell="B12" sqref="B12:B16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9" t="s">
        <v>149</v>
      </c>
      <c r="C2" s="138"/>
      <c r="D2" s="13"/>
    </row>
    <row r="3" spans="1:22" x14ac:dyDescent="0.3">
      <c r="A3" s="137" t="s">
        <v>150</v>
      </c>
      <c r="C3" s="23"/>
    </row>
    <row r="4" spans="1:22" x14ac:dyDescent="0.3">
      <c r="A4" s="137" t="s">
        <v>151</v>
      </c>
      <c r="C4" s="23"/>
    </row>
    <row r="6" spans="1:22" x14ac:dyDescent="0.3">
      <c r="B6" s="23" t="s">
        <v>197</v>
      </c>
    </row>
    <row r="7" spans="1:22" x14ac:dyDescent="0.3">
      <c r="A7" s="149"/>
      <c r="B7" s="181" t="s">
        <v>70</v>
      </c>
      <c r="C7" s="154"/>
      <c r="D7" s="154"/>
      <c r="E7" s="154"/>
      <c r="F7" s="154"/>
      <c r="G7" s="182">
        <v>46023</v>
      </c>
      <c r="H7" s="182">
        <v>46054</v>
      </c>
      <c r="I7" s="182">
        <v>46082</v>
      </c>
      <c r="J7" s="182">
        <v>46113</v>
      </c>
      <c r="K7" s="182">
        <v>46143</v>
      </c>
      <c r="L7" s="182">
        <v>46174</v>
      </c>
      <c r="M7" s="182">
        <v>46204</v>
      </c>
      <c r="N7" s="182">
        <v>46235</v>
      </c>
      <c r="O7" s="182">
        <v>46266</v>
      </c>
      <c r="P7" s="182">
        <v>46296</v>
      </c>
      <c r="Q7" s="182">
        <v>46327</v>
      </c>
      <c r="R7" s="182">
        <v>46357</v>
      </c>
      <c r="S7" s="182">
        <v>46388</v>
      </c>
      <c r="T7" s="182">
        <v>46419</v>
      </c>
      <c r="U7" s="182">
        <v>46447</v>
      </c>
      <c r="V7" s="183"/>
    </row>
    <row r="9" spans="1:22" x14ac:dyDescent="0.3">
      <c r="B9" s="23" t="s">
        <v>149</v>
      </c>
    </row>
    <row r="10" spans="1:22" x14ac:dyDescent="0.3">
      <c r="A10" s="154"/>
      <c r="B10" s="181" t="s">
        <v>152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</row>
    <row r="11" spans="1:22" x14ac:dyDescent="0.3">
      <c r="B11" s="356" t="s">
        <v>44</v>
      </c>
      <c r="C11" s="357"/>
      <c r="D11" s="357"/>
      <c r="E11" s="357"/>
      <c r="F11" s="357"/>
      <c r="G11" s="223">
        <f t="shared" ref="G11:R11" si="0">SUM(G12:G17)</f>
        <v>604075</v>
      </c>
      <c r="H11" s="223">
        <f t="shared" si="0"/>
        <v>611500</v>
      </c>
      <c r="I11" s="223">
        <f t="shared" si="0"/>
        <v>571645</v>
      </c>
      <c r="J11" s="223">
        <f t="shared" si="0"/>
        <v>919695</v>
      </c>
      <c r="K11" s="223">
        <f t="shared" si="0"/>
        <v>580055</v>
      </c>
      <c r="L11" s="223">
        <f t="shared" si="0"/>
        <v>586650</v>
      </c>
      <c r="M11" s="223">
        <f t="shared" si="0"/>
        <v>603345</v>
      </c>
      <c r="N11" s="223">
        <f t="shared" si="0"/>
        <v>595110</v>
      </c>
      <c r="O11" s="223">
        <f t="shared" si="0"/>
        <v>617740</v>
      </c>
      <c r="P11" s="223">
        <f t="shared" si="0"/>
        <v>620345</v>
      </c>
      <c r="Q11" s="223">
        <f t="shared" si="0"/>
        <v>629320</v>
      </c>
      <c r="R11" s="223">
        <f t="shared" si="0"/>
        <v>661710</v>
      </c>
      <c r="S11" s="223">
        <f>'CF 2027'!G11</f>
        <v>883175</v>
      </c>
      <c r="T11" s="223">
        <f>'CF 2027'!H11</f>
        <v>904835</v>
      </c>
      <c r="U11" s="223">
        <f>'CF 2027'!I11</f>
        <v>911350</v>
      </c>
      <c r="V11" s="223">
        <f>SUM(G11:R11)</f>
        <v>7601190</v>
      </c>
    </row>
    <row r="12" spans="1:22" x14ac:dyDescent="0.3">
      <c r="B12" s="145" t="s">
        <v>337</v>
      </c>
      <c r="C12" s="357"/>
      <c r="D12" s="357"/>
      <c r="E12" s="357"/>
      <c r="F12" s="357"/>
      <c r="G12" s="223">
        <f>'IS 2026'!F12</f>
        <v>18225</v>
      </c>
      <c r="H12" s="223">
        <f>'IS 2026'!G12</f>
        <v>18495</v>
      </c>
      <c r="I12" s="223">
        <f>'IS 2026'!H12</f>
        <v>17280</v>
      </c>
      <c r="J12" s="223">
        <f>'IS 2026'!I12</f>
        <v>17685</v>
      </c>
      <c r="K12" s="223">
        <f>'IS 2026'!J12</f>
        <v>17550</v>
      </c>
      <c r="L12" s="223">
        <f>'IS 2026'!K12</f>
        <v>17685</v>
      </c>
      <c r="M12" s="223">
        <f>'IS 2026'!L12</f>
        <v>18225</v>
      </c>
      <c r="N12" s="223">
        <f>'IS 2026'!M12</f>
        <v>17955</v>
      </c>
      <c r="O12" s="223">
        <f>'IS 2026'!N12</f>
        <v>18630</v>
      </c>
      <c r="P12" s="223">
        <f>'IS 2026'!O12</f>
        <v>18765</v>
      </c>
      <c r="Q12" s="223">
        <f>'IS 2026'!P12</f>
        <v>18495</v>
      </c>
      <c r="R12" s="223">
        <f>'IS 2026'!Q12</f>
        <v>18900</v>
      </c>
      <c r="S12" s="223">
        <f>'CF 2027'!G12</f>
        <v>18630</v>
      </c>
      <c r="T12" s="223">
        <f>'CF 2027'!H12</f>
        <v>19170</v>
      </c>
      <c r="U12" s="223">
        <f>'CF 2027'!I12</f>
        <v>19305</v>
      </c>
      <c r="V12" s="357"/>
    </row>
    <row r="13" spans="1:22" x14ac:dyDescent="0.3">
      <c r="B13" s="145" t="s">
        <v>338</v>
      </c>
      <c r="C13" s="357"/>
      <c r="D13" s="357"/>
      <c r="E13" s="357"/>
      <c r="F13" s="357"/>
      <c r="G13" s="223">
        <f>'IS 2026'!F13</f>
        <v>12825</v>
      </c>
      <c r="H13" s="223">
        <f>'IS 2026'!G13</f>
        <v>13015</v>
      </c>
      <c r="I13" s="223">
        <f>'IS 2026'!H13</f>
        <v>12160</v>
      </c>
      <c r="J13" s="223">
        <f>'IS 2026'!I13</f>
        <v>12445</v>
      </c>
      <c r="K13" s="223">
        <f>'IS 2026'!J13</f>
        <v>12350</v>
      </c>
      <c r="L13" s="223">
        <f>'IS 2026'!K13</f>
        <v>12445</v>
      </c>
      <c r="M13" s="223">
        <f>'IS 2026'!L13</f>
        <v>12825</v>
      </c>
      <c r="N13" s="223">
        <f>'IS 2026'!M13</f>
        <v>12635</v>
      </c>
      <c r="O13" s="223">
        <f>'IS 2026'!N13</f>
        <v>13110</v>
      </c>
      <c r="P13" s="223">
        <f>'IS 2026'!O13</f>
        <v>13205</v>
      </c>
      <c r="Q13" s="223">
        <f>'IS 2026'!P13</f>
        <v>13015</v>
      </c>
      <c r="R13" s="223">
        <f>'IS 2026'!Q13</f>
        <v>13300</v>
      </c>
      <c r="S13" s="223">
        <f>'CF 2027'!G13</f>
        <v>26220</v>
      </c>
      <c r="T13" s="223">
        <f>'CF 2027'!H13</f>
        <v>26980</v>
      </c>
      <c r="U13" s="223">
        <f>'CF 2027'!I13</f>
        <v>27170</v>
      </c>
      <c r="V13" s="357"/>
    </row>
    <row r="14" spans="1:22" x14ac:dyDescent="0.3">
      <c r="B14" s="145" t="s">
        <v>339</v>
      </c>
      <c r="C14" s="357"/>
      <c r="D14" s="357"/>
      <c r="E14" s="357"/>
      <c r="F14" s="357"/>
      <c r="G14" s="223">
        <f>'IS 2026'!F14</f>
        <v>32520</v>
      </c>
      <c r="H14" s="223">
        <f>'IS 2026'!G14</f>
        <v>32880</v>
      </c>
      <c r="I14" s="223">
        <f>'IS 2026'!H14</f>
        <v>30720</v>
      </c>
      <c r="J14" s="223">
        <f>'IS 2026'!I14</f>
        <v>31680</v>
      </c>
      <c r="K14" s="223">
        <f>'IS 2026'!J14</f>
        <v>31320</v>
      </c>
      <c r="L14" s="223">
        <f>'IS 2026'!K14</f>
        <v>31560</v>
      </c>
      <c r="M14" s="223">
        <f>'IS 2026'!L14</f>
        <v>32400</v>
      </c>
      <c r="N14" s="223">
        <f>'IS 2026'!M14</f>
        <v>31920</v>
      </c>
      <c r="O14" s="223">
        <f>'IS 2026'!N14</f>
        <v>33240</v>
      </c>
      <c r="P14" s="223">
        <f>'IS 2026'!O14</f>
        <v>33360</v>
      </c>
      <c r="Q14" s="223">
        <f>'IS 2026'!P14</f>
        <v>33000</v>
      </c>
      <c r="R14" s="223">
        <f>'IS 2026'!Q14</f>
        <v>33120</v>
      </c>
      <c r="S14" s="223">
        <f>'CF 2027'!G14</f>
        <v>73405</v>
      </c>
      <c r="T14" s="223">
        <f>'CF 2027'!H14</f>
        <v>74995</v>
      </c>
      <c r="U14" s="223">
        <f>'CF 2027'!I14</f>
        <v>75525</v>
      </c>
      <c r="V14" s="357"/>
    </row>
    <row r="15" spans="1:22" x14ac:dyDescent="0.3">
      <c r="B15" s="145" t="s">
        <v>340</v>
      </c>
      <c r="C15" s="357"/>
      <c r="D15" s="357"/>
      <c r="E15" s="357"/>
      <c r="F15" s="357"/>
      <c r="G15" s="223">
        <f>'IS 2026'!F15</f>
        <v>167215</v>
      </c>
      <c r="H15" s="223">
        <f>'IS 2026'!G15</f>
        <v>169335</v>
      </c>
      <c r="I15" s="223">
        <f>'IS 2026'!H15</f>
        <v>158205</v>
      </c>
      <c r="J15" s="223">
        <f>'IS 2026'!I15</f>
        <v>162710</v>
      </c>
      <c r="K15" s="223">
        <f>'IS 2026'!J15</f>
        <v>159000</v>
      </c>
      <c r="L15" s="223">
        <f>'IS 2026'!K15</f>
        <v>162710</v>
      </c>
      <c r="M15" s="223">
        <f>'IS 2026'!L15</f>
        <v>166950</v>
      </c>
      <c r="N15" s="223">
        <f>'IS 2026'!M15</f>
        <v>164830</v>
      </c>
      <c r="O15" s="223">
        <f>'IS 2026'!N15</f>
        <v>171190</v>
      </c>
      <c r="P15" s="223">
        <f>'IS 2026'!O15</f>
        <v>171720</v>
      </c>
      <c r="Q15" s="223">
        <f>'IS 2026'!P15</f>
        <v>170130</v>
      </c>
      <c r="R15" s="223">
        <f>'IS 2026'!Q15</f>
        <v>170660</v>
      </c>
      <c r="S15" s="223">
        <f>'CF 2027'!G15</f>
        <v>245100</v>
      </c>
      <c r="T15" s="223">
        <f>'CF 2027'!H15</f>
        <v>251180</v>
      </c>
      <c r="U15" s="223">
        <f>'CF 2027'!I15</f>
        <v>253080</v>
      </c>
      <c r="V15" s="357"/>
    </row>
    <row r="16" spans="1:22" x14ac:dyDescent="0.3">
      <c r="B16" s="145" t="s">
        <v>341</v>
      </c>
      <c r="C16" s="357"/>
      <c r="D16" s="357"/>
      <c r="E16" s="357"/>
      <c r="F16" s="357"/>
      <c r="G16" s="223">
        <f>'IS 2026'!F16</f>
        <v>373290</v>
      </c>
      <c r="H16" s="223">
        <f>'IS 2026'!G16</f>
        <v>377775</v>
      </c>
      <c r="I16" s="223">
        <f>'IS 2026'!H16</f>
        <v>353280</v>
      </c>
      <c r="J16" s="223">
        <f>'IS 2026'!I16</f>
        <v>695175</v>
      </c>
      <c r="K16" s="223">
        <f>'IS 2026'!J16</f>
        <v>359835</v>
      </c>
      <c r="L16" s="223">
        <f>'IS 2026'!K16</f>
        <v>362250</v>
      </c>
      <c r="M16" s="223">
        <f>'IS 2026'!L16</f>
        <v>372945</v>
      </c>
      <c r="N16" s="223">
        <f>'IS 2026'!M16</f>
        <v>367770</v>
      </c>
      <c r="O16" s="223">
        <f>'IS 2026'!N16</f>
        <v>381570</v>
      </c>
      <c r="P16" s="223">
        <f>'IS 2026'!O16</f>
        <v>383295</v>
      </c>
      <c r="Q16" s="223">
        <f>'IS 2026'!P16</f>
        <v>394680</v>
      </c>
      <c r="R16" s="223">
        <f>'IS 2026'!Q16</f>
        <v>425730</v>
      </c>
      <c r="S16" s="223">
        <f>'CF 2027'!G16</f>
        <v>519820</v>
      </c>
      <c r="T16" s="223">
        <f>'CF 2027'!H16</f>
        <v>532510</v>
      </c>
      <c r="U16" s="223">
        <f>'CF 2027'!I16</f>
        <v>536270</v>
      </c>
      <c r="V16" s="357"/>
    </row>
    <row r="17" spans="1:22" x14ac:dyDescent="0.3">
      <c r="B17" s="360"/>
      <c r="C17" s="357"/>
      <c r="D17" s="357"/>
      <c r="E17" s="357"/>
      <c r="F17" s="357"/>
      <c r="G17" s="223"/>
      <c r="H17" s="223"/>
      <c r="I17" s="223"/>
      <c r="J17" s="223"/>
      <c r="K17" s="223"/>
      <c r="L17" s="223"/>
      <c r="M17" s="223"/>
      <c r="N17" s="223"/>
      <c r="O17" s="223"/>
      <c r="P17" s="357"/>
      <c r="Q17" s="223"/>
      <c r="R17" s="223"/>
      <c r="S17" s="223"/>
      <c r="T17" s="223"/>
      <c r="U17" s="223"/>
      <c r="V17" s="357"/>
    </row>
    <row r="18" spans="1:22" x14ac:dyDescent="0.3">
      <c r="B18" s="356" t="s">
        <v>45</v>
      </c>
      <c r="C18" s="357"/>
      <c r="D18" s="357"/>
      <c r="E18" s="357"/>
      <c r="F18" s="357"/>
      <c r="G18" s="223">
        <f>'CF 2025'!S18</f>
        <v>-625</v>
      </c>
      <c r="H18" s="223">
        <f>'CF 2025'!T18</f>
        <v>-625</v>
      </c>
      <c r="I18" s="223">
        <f>'CF 2025'!U18</f>
        <v>-625</v>
      </c>
      <c r="J18" s="223">
        <v>-625</v>
      </c>
      <c r="K18" s="223">
        <v>-625</v>
      </c>
      <c r="L18" s="223">
        <v>-625</v>
      </c>
      <c r="M18" s="223">
        <v>-625</v>
      </c>
      <c r="N18" s="223">
        <v>-625</v>
      </c>
      <c r="O18" s="223">
        <v>-625</v>
      </c>
      <c r="P18" s="223">
        <v>-625</v>
      </c>
      <c r="Q18" s="223">
        <v>-625</v>
      </c>
      <c r="R18" s="223">
        <v>-625</v>
      </c>
      <c r="S18" s="223">
        <v>-625</v>
      </c>
      <c r="T18" s="223">
        <v>-625</v>
      </c>
      <c r="U18" s="223">
        <v>-625</v>
      </c>
      <c r="V18" s="223">
        <f>SUM(G18:R18)</f>
        <v>-7500</v>
      </c>
    </row>
    <row r="19" spans="1:22" x14ac:dyDescent="0.3">
      <c r="B19" s="356" t="s">
        <v>153</v>
      </c>
      <c r="C19" s="357"/>
      <c r="D19" s="357"/>
      <c r="E19" s="357"/>
      <c r="F19" s="357"/>
      <c r="G19" s="223">
        <f>'IS 2026'!F62</f>
        <v>-28216.800000000003</v>
      </c>
      <c r="H19" s="223">
        <f>'IS 2026'!G62</f>
        <v>-23796.400000000001</v>
      </c>
      <c r="I19" s="223">
        <f>'IS 2026'!H62</f>
        <v>-19376</v>
      </c>
      <c r="J19" s="223">
        <f>'IS 2026'!I62</f>
        <v>-14955.6</v>
      </c>
      <c r="K19" s="223">
        <f>'IS 2026'!J62</f>
        <v>-10535.2</v>
      </c>
      <c r="L19" s="223">
        <f>'IS 2026'!K62</f>
        <v>-6114.8</v>
      </c>
      <c r="M19" s="223">
        <f>'IS 2026'!L62</f>
        <v>-1694.4</v>
      </c>
      <c r="N19" s="223">
        <f>'IS 2026'!M62</f>
        <v>0</v>
      </c>
      <c r="O19" s="223">
        <f>'IS 2026'!N62</f>
        <v>0</v>
      </c>
      <c r="P19" s="223">
        <f>'IS 2026'!O62</f>
        <v>0</v>
      </c>
      <c r="Q19" s="223">
        <f>'IS 2026'!P62</f>
        <v>0</v>
      </c>
      <c r="R19" s="223">
        <f>'IS 2026'!Q62</f>
        <v>0</v>
      </c>
      <c r="S19" s="223">
        <f>'IS 2026'!R62</f>
        <v>0</v>
      </c>
      <c r="T19" s="223">
        <f>'IS 2026'!S62</f>
        <v>0</v>
      </c>
      <c r="U19" s="223">
        <f>'IS 2026'!T62</f>
        <v>0</v>
      </c>
      <c r="V19" s="357"/>
    </row>
    <row r="20" spans="1:22" x14ac:dyDescent="0.3">
      <c r="B20" s="356" t="s">
        <v>154</v>
      </c>
      <c r="C20" s="357"/>
      <c r="D20" s="357"/>
      <c r="E20" s="357"/>
      <c r="F20" s="357"/>
      <c r="G20" s="223">
        <f>'IS 2026'!F64</f>
        <v>-120430</v>
      </c>
      <c r="H20" s="223">
        <f>'IS 2026'!G64</f>
        <v>-121915</v>
      </c>
      <c r="I20" s="223">
        <f>'IS 2026'!H64</f>
        <v>-113944</v>
      </c>
      <c r="J20" s="223">
        <f>'IS 2026'!I64</f>
        <v>-183554</v>
      </c>
      <c r="K20" s="223">
        <f>'IS 2026'!J64</f>
        <v>-115626</v>
      </c>
      <c r="L20" s="223">
        <f>'IS 2026'!K64</f>
        <v>-116945</v>
      </c>
      <c r="M20" s="223">
        <f>'IS 2026'!L64</f>
        <v>-120284</v>
      </c>
      <c r="N20" s="223">
        <f>'IS 2026'!M64</f>
        <v>-118637</v>
      </c>
      <c r="O20" s="223">
        <f>'IS 2026'!N64</f>
        <v>-123163</v>
      </c>
      <c r="P20" s="223">
        <f>'IS 2026'!O64</f>
        <v>-123684</v>
      </c>
      <c r="Q20" s="223">
        <f>'IS 2026'!P64</f>
        <v>-125479</v>
      </c>
      <c r="R20" s="223">
        <f>'IS 2026'!Q64</f>
        <v>-131957</v>
      </c>
      <c r="S20" s="223">
        <f>'IS 2026'!R64</f>
        <v>-176250</v>
      </c>
      <c r="T20" s="223">
        <f>'IS 2026'!S64</f>
        <v>-180582</v>
      </c>
      <c r="U20" s="223">
        <f>'IS 2026'!T64</f>
        <v>-181885</v>
      </c>
      <c r="V20" s="357"/>
    </row>
    <row r="21" spans="1:22" x14ac:dyDescent="0.3">
      <c r="A21" s="154"/>
      <c r="B21" s="184" t="s">
        <v>155</v>
      </c>
      <c r="C21" s="154"/>
      <c r="D21" s="154"/>
      <c r="E21" s="154"/>
      <c r="F21" s="154"/>
      <c r="G21" s="162">
        <f t="shared" ref="G21:U21" si="1">G11</f>
        <v>604075</v>
      </c>
      <c r="H21" s="162">
        <f t="shared" si="1"/>
        <v>611500</v>
      </c>
      <c r="I21" s="162">
        <f t="shared" si="1"/>
        <v>571645</v>
      </c>
      <c r="J21" s="162">
        <f t="shared" si="1"/>
        <v>919695</v>
      </c>
      <c r="K21" s="162">
        <f t="shared" si="1"/>
        <v>580055</v>
      </c>
      <c r="L21" s="162">
        <f t="shared" si="1"/>
        <v>586650</v>
      </c>
      <c r="M21" s="162">
        <f t="shared" si="1"/>
        <v>603345</v>
      </c>
      <c r="N21" s="162">
        <f t="shared" si="1"/>
        <v>595110</v>
      </c>
      <c r="O21" s="162">
        <f t="shared" si="1"/>
        <v>617740</v>
      </c>
      <c r="P21" s="162">
        <f t="shared" si="1"/>
        <v>620345</v>
      </c>
      <c r="Q21" s="162">
        <f t="shared" si="1"/>
        <v>629320</v>
      </c>
      <c r="R21" s="162">
        <f t="shared" si="1"/>
        <v>661710</v>
      </c>
      <c r="S21" s="162">
        <f t="shared" si="1"/>
        <v>883175</v>
      </c>
      <c r="T21" s="162">
        <f t="shared" si="1"/>
        <v>904835</v>
      </c>
      <c r="U21" s="162">
        <f t="shared" si="1"/>
        <v>911350</v>
      </c>
      <c r="V21" s="162">
        <f>SUM(G21:R21)</f>
        <v>7601190</v>
      </c>
    </row>
    <row r="22" spans="1:22" x14ac:dyDescent="0.3">
      <c r="A22" s="155"/>
      <c r="B22" s="210" t="s">
        <v>156</v>
      </c>
      <c r="C22" s="155"/>
      <c r="D22" s="155"/>
      <c r="E22" s="155"/>
      <c r="F22" s="155"/>
      <c r="G22" s="156">
        <f>SUM(G18:G20)</f>
        <v>-149271.79999999999</v>
      </c>
      <c r="H22" s="156">
        <f t="shared" ref="H22:U22" si="2">SUM(H18:H20)</f>
        <v>-146336.4</v>
      </c>
      <c r="I22" s="156">
        <f t="shared" si="2"/>
        <v>-133945</v>
      </c>
      <c r="J22" s="156">
        <f t="shared" si="2"/>
        <v>-199134.6</v>
      </c>
      <c r="K22" s="156">
        <f t="shared" si="2"/>
        <v>-126786.2</v>
      </c>
      <c r="L22" s="156">
        <f t="shared" si="2"/>
        <v>-123684.8</v>
      </c>
      <c r="M22" s="156">
        <f t="shared" si="2"/>
        <v>-122603.4</v>
      </c>
      <c r="N22" s="156">
        <f t="shared" si="2"/>
        <v>-119262</v>
      </c>
      <c r="O22" s="156">
        <f t="shared" si="2"/>
        <v>-123788</v>
      </c>
      <c r="P22" s="156">
        <f t="shared" si="2"/>
        <v>-124309</v>
      </c>
      <c r="Q22" s="156">
        <f t="shared" si="2"/>
        <v>-126104</v>
      </c>
      <c r="R22" s="156">
        <f t="shared" si="2"/>
        <v>-132582</v>
      </c>
      <c r="S22" s="156">
        <f t="shared" si="2"/>
        <v>-176875</v>
      </c>
      <c r="T22" s="156">
        <f t="shared" si="2"/>
        <v>-181207</v>
      </c>
      <c r="U22" s="156">
        <f t="shared" si="2"/>
        <v>-182510</v>
      </c>
      <c r="V22" s="156">
        <f>SUM(G22:R22)</f>
        <v>-1627807.2</v>
      </c>
    </row>
    <row r="23" spans="1:22" x14ac:dyDescent="0.3">
      <c r="B23" s="157" t="s">
        <v>157</v>
      </c>
      <c r="C23" s="157"/>
      <c r="D23" s="157"/>
      <c r="E23" s="157"/>
      <c r="F23" s="157"/>
      <c r="G23" s="158">
        <f>SUM(G21:G22)</f>
        <v>454803.20000000001</v>
      </c>
      <c r="H23" s="158">
        <f t="shared" ref="H23:R23" si="3">SUM(H21:H22)</f>
        <v>465163.6</v>
      </c>
      <c r="I23" s="158">
        <f t="shared" si="3"/>
        <v>437700</v>
      </c>
      <c r="J23" s="158">
        <f t="shared" si="3"/>
        <v>720560.4</v>
      </c>
      <c r="K23" s="158">
        <f t="shared" si="3"/>
        <v>453268.8</v>
      </c>
      <c r="L23" s="158">
        <f t="shared" si="3"/>
        <v>462965.2</v>
      </c>
      <c r="M23" s="158">
        <f t="shared" si="3"/>
        <v>480741.6</v>
      </c>
      <c r="N23" s="158">
        <f t="shared" si="3"/>
        <v>475848</v>
      </c>
      <c r="O23" s="158">
        <f t="shared" si="3"/>
        <v>493952</v>
      </c>
      <c r="P23" s="158">
        <f t="shared" si="3"/>
        <v>496036</v>
      </c>
      <c r="Q23" s="158">
        <f t="shared" si="3"/>
        <v>503216</v>
      </c>
      <c r="R23" s="158">
        <f t="shared" si="3"/>
        <v>529128</v>
      </c>
      <c r="S23" s="158">
        <f>'CF 2027'!G23</f>
        <v>719816.4</v>
      </c>
      <c r="T23" s="158">
        <f>'CF 2027'!H23</f>
        <v>737144.4</v>
      </c>
      <c r="U23" s="158">
        <f>'CF 2027'!I23</f>
        <v>742356.4</v>
      </c>
      <c r="V23" s="158">
        <f>SUM(G23:R23)</f>
        <v>5973382.8000000007</v>
      </c>
    </row>
    <row r="24" spans="1:22" ht="15" customHeight="1" x14ac:dyDescent="0.3">
      <c r="B24" s="157" t="s">
        <v>199</v>
      </c>
      <c r="C24" s="157"/>
      <c r="D24" s="157"/>
      <c r="E24" s="157"/>
      <c r="F24" s="157"/>
      <c r="G24" s="158">
        <f>'IS 2026'!F60+G23</f>
        <v>452953.2</v>
      </c>
      <c r="H24" s="158">
        <f>'IS 2025'!G61-H23</f>
        <v>-466613.6</v>
      </c>
      <c r="I24" s="158">
        <f>'IS 2025'!H61+I23</f>
        <v>436250</v>
      </c>
      <c r="J24" s="158">
        <f>'IS 2025'!I61+J23</f>
        <v>719110.4</v>
      </c>
      <c r="K24" s="158">
        <f>'IS 2025'!J61+K23</f>
        <v>451818.8</v>
      </c>
      <c r="L24" s="158">
        <f>'IS 2025'!K61+L23</f>
        <v>461515.2</v>
      </c>
      <c r="M24" s="158">
        <f>'IS 2025'!L61+M23</f>
        <v>479291.6</v>
      </c>
      <c r="N24" s="158">
        <f>'IS 2025'!M61+N23</f>
        <v>474398</v>
      </c>
      <c r="O24" s="158">
        <f>'IS 2025'!N61+O23</f>
        <v>492502</v>
      </c>
      <c r="P24" s="158">
        <f>'IS 2025'!O61+P23</f>
        <v>494586</v>
      </c>
      <c r="Q24" s="158">
        <f>'IS 2025'!P61+Q23</f>
        <v>501766</v>
      </c>
      <c r="R24" s="158">
        <f>'IS 2025'!Q61+R23</f>
        <v>527278</v>
      </c>
      <c r="S24" s="158">
        <f>'CF 2027'!G24</f>
        <v>717966.4</v>
      </c>
      <c r="T24" s="158">
        <f>'CF 2027'!H24</f>
        <v>735694.4</v>
      </c>
      <c r="U24" s="158">
        <f>'CF 2027'!I24</f>
        <v>740906.4</v>
      </c>
      <c r="V24" s="158"/>
    </row>
    <row r="25" spans="1:22" ht="15" customHeight="1" x14ac:dyDescent="0.3">
      <c r="B25" s="362" t="s">
        <v>158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8">
        <f>'CF 2027'!G25</f>
        <v>0</v>
      </c>
      <c r="T25" s="158">
        <f>'CF 2027'!H25</f>
        <v>0</v>
      </c>
      <c r="U25" s="158">
        <f>'CF 2027'!I25</f>
        <v>0</v>
      </c>
      <c r="V25" s="357"/>
    </row>
    <row r="26" spans="1:22" ht="15" customHeight="1" x14ac:dyDescent="0.3">
      <c r="B26" s="364" t="s">
        <v>159</v>
      </c>
      <c r="C26" s="157"/>
      <c r="D26" s="157"/>
      <c r="E26" s="157"/>
      <c r="F26" s="157"/>
      <c r="G26" s="158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8">
        <f>'CF 2027'!G26</f>
        <v>0</v>
      </c>
      <c r="T26" s="158">
        <f>'CF 2027'!H26</f>
        <v>0</v>
      </c>
      <c r="U26" s="158">
        <f>'CF 2027'!I26</f>
        <v>0</v>
      </c>
      <c r="V26" s="357"/>
    </row>
    <row r="27" spans="1:22" ht="15" customHeight="1" x14ac:dyDescent="0.3">
      <c r="B27" s="365" t="s">
        <v>121</v>
      </c>
      <c r="C27" s="157"/>
      <c r="D27" s="157"/>
      <c r="E27" s="157"/>
      <c r="F27" s="157"/>
      <c r="G27" s="158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373">
        <f>'CF 2027'!G27</f>
        <v>0</v>
      </c>
      <c r="T27" s="158">
        <f>'CF 2027'!H27</f>
        <v>0</v>
      </c>
      <c r="U27" s="158">
        <f>'CF 2027'!I27</f>
        <v>0</v>
      </c>
      <c r="V27" s="357"/>
    </row>
    <row r="28" spans="1:22" ht="15" customHeight="1" x14ac:dyDescent="0.3">
      <c r="B28" s="364" t="s">
        <v>160</v>
      </c>
      <c r="C28" s="157"/>
      <c r="D28" s="157"/>
      <c r="E28" s="157"/>
      <c r="F28" s="157"/>
      <c r="G28" s="158">
        <f>SUM(G26:G27)</f>
        <v>0</v>
      </c>
      <c r="H28" s="158">
        <f t="shared" ref="H28:R28" si="4">SUM(H26:H27)</f>
        <v>0</v>
      </c>
      <c r="I28" s="158">
        <f t="shared" si="4"/>
        <v>0</v>
      </c>
      <c r="J28" s="158">
        <f t="shared" si="4"/>
        <v>0</v>
      </c>
      <c r="K28" s="158">
        <f t="shared" si="4"/>
        <v>0</v>
      </c>
      <c r="L28" s="158">
        <f t="shared" si="4"/>
        <v>0</v>
      </c>
      <c r="M28" s="158">
        <f t="shared" si="4"/>
        <v>0</v>
      </c>
      <c r="N28" s="158">
        <f t="shared" si="4"/>
        <v>0</v>
      </c>
      <c r="O28" s="158">
        <f t="shared" si="4"/>
        <v>0</v>
      </c>
      <c r="P28" s="158">
        <f t="shared" si="4"/>
        <v>0</v>
      </c>
      <c r="Q28" s="158">
        <f t="shared" si="4"/>
        <v>0</v>
      </c>
      <c r="R28" s="158">
        <f t="shared" si="4"/>
        <v>0</v>
      </c>
      <c r="S28" s="158">
        <f>'CF 2027'!G28</f>
        <v>0</v>
      </c>
      <c r="T28" s="158">
        <f>'CF 2027'!H28</f>
        <v>0</v>
      </c>
      <c r="U28" s="158">
        <f>'CF 2027'!I28</f>
        <v>0</v>
      </c>
      <c r="V28" s="357"/>
    </row>
    <row r="29" spans="1:22" ht="15" customHeight="1" x14ac:dyDescent="0.3">
      <c r="B29" s="366" t="s">
        <v>161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8">
        <f>'CF 2027'!G29</f>
        <v>0</v>
      </c>
      <c r="T29" s="158">
        <f>'CF 2027'!H29</f>
        <v>0</v>
      </c>
      <c r="U29" s="158">
        <f>'CF 2027'!I29</f>
        <v>0</v>
      </c>
      <c r="V29" s="357"/>
    </row>
    <row r="30" spans="1:22" ht="15" customHeight="1" x14ac:dyDescent="0.3">
      <c r="B30" s="356" t="s">
        <v>162</v>
      </c>
      <c r="C30" s="357"/>
      <c r="D30" s="357"/>
      <c r="E30" s="357"/>
      <c r="F30" s="357"/>
      <c r="G30" s="223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223">
        <f>'CF 2027'!G30</f>
        <v>0</v>
      </c>
      <c r="T30" s="223">
        <f>'CF 2027'!H30</f>
        <v>0</v>
      </c>
      <c r="U30" s="223">
        <f>'CF 2027'!I30</f>
        <v>0</v>
      </c>
      <c r="V30" s="357"/>
    </row>
    <row r="31" spans="1:22" ht="15" customHeight="1" x14ac:dyDescent="0.3">
      <c r="B31" s="360" t="s">
        <v>121</v>
      </c>
      <c r="C31" s="357"/>
      <c r="D31" s="357"/>
      <c r="E31" s="357"/>
      <c r="F31" s="357"/>
      <c r="G31" s="223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223">
        <f>'CF 2027'!G31</f>
        <v>0</v>
      </c>
      <c r="T31" s="223">
        <f>'CF 2027'!H31</f>
        <v>0</v>
      </c>
      <c r="U31" s="223">
        <f>'CF 2027'!I31</f>
        <v>0</v>
      </c>
      <c r="V31" s="357"/>
    </row>
    <row r="32" spans="1:22" ht="15" customHeight="1" x14ac:dyDescent="0.3">
      <c r="B32" s="360" t="s">
        <v>122</v>
      </c>
      <c r="C32" s="357"/>
      <c r="D32" s="357"/>
      <c r="E32" s="357"/>
      <c r="F32" s="357"/>
      <c r="G32" s="223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223">
        <f>'CF 2027'!G32</f>
        <v>0</v>
      </c>
      <c r="T32" s="223">
        <f>'CF 2027'!H32</f>
        <v>0</v>
      </c>
      <c r="U32" s="223">
        <f>'CF 2027'!I32</f>
        <v>0</v>
      </c>
      <c r="V32" s="357"/>
    </row>
    <row r="33" spans="1:22" ht="15" customHeight="1" x14ac:dyDescent="0.3">
      <c r="B33" s="360" t="s">
        <v>123</v>
      </c>
      <c r="C33" s="357"/>
      <c r="D33" s="357"/>
      <c r="E33" s="357"/>
      <c r="F33" s="357"/>
      <c r="G33" s="223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223">
        <f>'CF 2027'!G33</f>
        <v>0</v>
      </c>
      <c r="T33" s="223">
        <f>'CF 2027'!H33</f>
        <v>0</v>
      </c>
      <c r="U33" s="223">
        <f>'CF 2027'!I33</f>
        <v>0</v>
      </c>
      <c r="V33" s="357"/>
    </row>
    <row r="34" spans="1:22" ht="15" customHeight="1" x14ac:dyDescent="0.3">
      <c r="B34" s="356" t="s">
        <v>163</v>
      </c>
      <c r="C34" s="357"/>
      <c r="D34" s="357"/>
      <c r="E34" s="357"/>
      <c r="F34" s="357"/>
      <c r="G34" s="357">
        <v>-22102</v>
      </c>
      <c r="H34" s="357">
        <v>-22102</v>
      </c>
      <c r="I34" s="357">
        <v>-22102</v>
      </c>
      <c r="J34" s="357">
        <v>-22102</v>
      </c>
      <c r="K34" s="357">
        <v>-22102</v>
      </c>
      <c r="L34" s="357">
        <v>-22102</v>
      </c>
      <c r="M34" s="357">
        <v>-22102</v>
      </c>
      <c r="N34" s="357">
        <v>-8472</v>
      </c>
      <c r="O34" s="357"/>
      <c r="P34" s="357"/>
      <c r="Q34" s="357"/>
      <c r="R34" s="357"/>
      <c r="S34" s="223"/>
      <c r="T34" s="223"/>
      <c r="U34" s="223"/>
      <c r="V34" s="223">
        <f>SUM(G34:R34)</f>
        <v>-163186</v>
      </c>
    </row>
    <row r="35" spans="1:22" ht="15" customHeight="1" x14ac:dyDescent="0.3">
      <c r="B35" s="360" t="s">
        <v>121</v>
      </c>
      <c r="C35" s="357"/>
      <c r="D35" s="357"/>
      <c r="E35" s="357"/>
      <c r="F35" s="357"/>
      <c r="G35" s="357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>
        <f>'CF 2027'!G35</f>
        <v>0</v>
      </c>
      <c r="T35" s="223">
        <f>'CF 2027'!H35</f>
        <v>0</v>
      </c>
      <c r="U35" s="223">
        <f>'CF 2027'!I35</f>
        <v>0</v>
      </c>
      <c r="V35" s="357"/>
    </row>
    <row r="36" spans="1:22" ht="15" customHeight="1" x14ac:dyDescent="0.3">
      <c r="B36" s="356" t="s">
        <v>164</v>
      </c>
      <c r="C36" s="357"/>
      <c r="D36" s="357"/>
      <c r="E36" s="357"/>
      <c r="F36" s="357"/>
      <c r="G36" s="223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223">
        <f>'CF 2027'!G36</f>
        <v>0</v>
      </c>
      <c r="T36" s="223">
        <f>'CF 2027'!H36</f>
        <v>0</v>
      </c>
      <c r="U36" s="223">
        <f>'CF 2027'!I36</f>
        <v>0</v>
      </c>
      <c r="V36" s="357"/>
    </row>
    <row r="37" spans="1:22" ht="15" customHeight="1" x14ac:dyDescent="0.3">
      <c r="B37" s="360" t="s">
        <v>121</v>
      </c>
      <c r="C37" s="357"/>
      <c r="D37" s="357"/>
      <c r="E37" s="357"/>
      <c r="F37" s="357"/>
      <c r="G37" s="223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  <c r="S37" s="223">
        <f>'CF 2027'!G37</f>
        <v>0</v>
      </c>
      <c r="T37" s="223">
        <f>'CF 2027'!H37</f>
        <v>0</v>
      </c>
      <c r="U37" s="223">
        <f>'CF 2027'!I37</f>
        <v>0</v>
      </c>
      <c r="V37" s="357"/>
    </row>
    <row r="38" spans="1:22" ht="15" customHeight="1" x14ac:dyDescent="0.3">
      <c r="B38" s="356" t="s">
        <v>165</v>
      </c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  <c r="S38" s="223">
        <f>'CF 2027'!G38</f>
        <v>0</v>
      </c>
      <c r="T38" s="223">
        <f>'CF 2027'!H38</f>
        <v>0</v>
      </c>
      <c r="U38" s="223">
        <f>'CF 2027'!I38</f>
        <v>0</v>
      </c>
      <c r="V38" s="357"/>
    </row>
    <row r="39" spans="1:22" ht="15" customHeight="1" x14ac:dyDescent="0.3">
      <c r="B39" s="360" t="s">
        <v>121</v>
      </c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223">
        <f>'CF 2027'!G39</f>
        <v>0</v>
      </c>
      <c r="T39" s="223">
        <f>'CF 2027'!H39</f>
        <v>0</v>
      </c>
      <c r="U39" s="223">
        <f>'CF 2027'!I39</f>
        <v>0</v>
      </c>
      <c r="V39" s="357"/>
    </row>
    <row r="40" spans="1:22" ht="15" customHeight="1" x14ac:dyDescent="0.3">
      <c r="B40" s="356" t="s">
        <v>166</v>
      </c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223">
        <f>'CF 2027'!G40</f>
        <v>0</v>
      </c>
      <c r="T40" s="223">
        <f>'CF 2027'!H40</f>
        <v>0</v>
      </c>
      <c r="U40" s="223">
        <f>'CF 2027'!I40</f>
        <v>0</v>
      </c>
      <c r="V40" s="357"/>
    </row>
    <row r="41" spans="1:22" ht="15" customHeight="1" x14ac:dyDescent="0.3">
      <c r="B41" s="360" t="s">
        <v>121</v>
      </c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223">
        <f>'CF 2027'!G41</f>
        <v>0</v>
      </c>
      <c r="T41" s="223">
        <f>'CF 2027'!H41</f>
        <v>0</v>
      </c>
      <c r="U41" s="223">
        <f>'CF 2027'!I41</f>
        <v>0</v>
      </c>
      <c r="V41" s="357"/>
    </row>
    <row r="42" spans="1:22" ht="15" customHeight="1" x14ac:dyDescent="0.3">
      <c r="B42" s="356" t="s">
        <v>52</v>
      </c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223">
        <f>'CF 2027'!G42</f>
        <v>0</v>
      </c>
      <c r="T42" s="223">
        <f>'CF 2027'!H42</f>
        <v>0</v>
      </c>
      <c r="U42" s="223">
        <f>'CF 2027'!I42</f>
        <v>0</v>
      </c>
      <c r="V42" s="357"/>
    </row>
    <row r="43" spans="1:22" ht="15" customHeight="1" x14ac:dyDescent="0.3">
      <c r="B43" s="356" t="s">
        <v>167</v>
      </c>
      <c r="C43" s="357"/>
      <c r="D43" s="357"/>
      <c r="E43" s="357"/>
      <c r="F43" s="357"/>
      <c r="G43" s="223">
        <f>SUM(G30:G42)</f>
        <v>-22102</v>
      </c>
      <c r="H43" s="223">
        <f t="shared" ref="H43:R43" si="5">SUM(H30:H42)</f>
        <v>-22102</v>
      </c>
      <c r="I43" s="223">
        <f t="shared" si="5"/>
        <v>-22102</v>
      </c>
      <c r="J43" s="223">
        <f t="shared" si="5"/>
        <v>-22102</v>
      </c>
      <c r="K43" s="223">
        <f t="shared" si="5"/>
        <v>-22102</v>
      </c>
      <c r="L43" s="223">
        <f t="shared" si="5"/>
        <v>-22102</v>
      </c>
      <c r="M43" s="223">
        <f t="shared" si="5"/>
        <v>-22102</v>
      </c>
      <c r="N43" s="223">
        <f t="shared" si="5"/>
        <v>-8472</v>
      </c>
      <c r="O43" s="223">
        <f t="shared" si="5"/>
        <v>0</v>
      </c>
      <c r="P43" s="223">
        <f t="shared" si="5"/>
        <v>0</v>
      </c>
      <c r="Q43" s="223">
        <f t="shared" si="5"/>
        <v>0</v>
      </c>
      <c r="R43" s="223">
        <f t="shared" si="5"/>
        <v>0</v>
      </c>
      <c r="S43" s="223">
        <f>'CF 2027'!G43</f>
        <v>0</v>
      </c>
      <c r="T43" s="223">
        <f>'CF 2027'!H43</f>
        <v>0</v>
      </c>
      <c r="U43" s="223">
        <f>'CF 2027'!I43</f>
        <v>0</v>
      </c>
      <c r="V43" s="357"/>
    </row>
    <row r="44" spans="1:22" ht="15" customHeight="1" x14ac:dyDescent="0.3">
      <c r="B44" s="367" t="s">
        <v>168</v>
      </c>
      <c r="C44" s="368"/>
      <c r="D44" s="368"/>
      <c r="E44" s="368"/>
      <c r="F44" s="368"/>
      <c r="G44" s="374">
        <f>G53</f>
        <v>432701.19999999995</v>
      </c>
      <c r="H44" s="374">
        <f>H23+H43</f>
        <v>443061.6</v>
      </c>
      <c r="I44" s="374">
        <f>I23+I43</f>
        <v>415598</v>
      </c>
      <c r="J44" s="374">
        <f>J23+J43</f>
        <v>698458.4</v>
      </c>
      <c r="K44" s="374">
        <f t="shared" ref="K44:U44" si="6">K23+K43</f>
        <v>431166.8</v>
      </c>
      <c r="L44" s="374">
        <f t="shared" si="6"/>
        <v>440863.2</v>
      </c>
      <c r="M44" s="374">
        <f t="shared" si="6"/>
        <v>458639.6</v>
      </c>
      <c r="N44" s="374">
        <f t="shared" si="6"/>
        <v>467376</v>
      </c>
      <c r="O44" s="374">
        <f t="shared" si="6"/>
        <v>493952</v>
      </c>
      <c r="P44" s="374">
        <f t="shared" si="6"/>
        <v>496036</v>
      </c>
      <c r="Q44" s="374">
        <f t="shared" si="6"/>
        <v>503216</v>
      </c>
      <c r="R44" s="374">
        <f t="shared" si="6"/>
        <v>529128</v>
      </c>
      <c r="S44" s="376">
        <f t="shared" si="6"/>
        <v>719816.4</v>
      </c>
      <c r="T44" s="376">
        <f t="shared" si="6"/>
        <v>737144.4</v>
      </c>
      <c r="U44" s="376">
        <f t="shared" si="6"/>
        <v>742356.4</v>
      </c>
      <c r="V44" s="374">
        <f>SUM(G44:R44)</f>
        <v>5810196.7999999998</v>
      </c>
    </row>
    <row r="45" spans="1:22" x14ac:dyDescent="0.3">
      <c r="A45" s="154"/>
      <c r="B45" s="181" t="s">
        <v>169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</row>
    <row r="46" spans="1:22" x14ac:dyDescent="0.3">
      <c r="B46" s="370" t="s">
        <v>160</v>
      </c>
      <c r="C46" s="370"/>
      <c r="D46" s="370"/>
      <c r="E46" s="370"/>
      <c r="F46" s="370"/>
      <c r="G46" s="375">
        <f>G28</f>
        <v>0</v>
      </c>
      <c r="H46" s="375">
        <f t="shared" ref="H46:U46" si="7">H28</f>
        <v>0</v>
      </c>
      <c r="I46" s="375">
        <f t="shared" si="7"/>
        <v>0</v>
      </c>
      <c r="J46" s="375">
        <f t="shared" si="7"/>
        <v>0</v>
      </c>
      <c r="K46" s="375">
        <f t="shared" si="7"/>
        <v>0</v>
      </c>
      <c r="L46" s="375">
        <f t="shared" si="7"/>
        <v>0</v>
      </c>
      <c r="M46" s="375">
        <f t="shared" si="7"/>
        <v>0</v>
      </c>
      <c r="N46" s="375">
        <f t="shared" si="7"/>
        <v>0</v>
      </c>
      <c r="O46" s="375">
        <f t="shared" si="7"/>
        <v>0</v>
      </c>
      <c r="P46" s="375">
        <f t="shared" si="7"/>
        <v>0</v>
      </c>
      <c r="Q46" s="375">
        <f t="shared" si="7"/>
        <v>0</v>
      </c>
      <c r="R46" s="375">
        <f t="shared" si="7"/>
        <v>0</v>
      </c>
      <c r="S46" s="375">
        <f t="shared" si="7"/>
        <v>0</v>
      </c>
      <c r="T46" s="375">
        <f t="shared" si="7"/>
        <v>0</v>
      </c>
      <c r="U46" s="375">
        <f t="shared" si="7"/>
        <v>0</v>
      </c>
    </row>
    <row r="47" spans="1:22" x14ac:dyDescent="0.3">
      <c r="B47" s="157" t="s">
        <v>167</v>
      </c>
      <c r="C47" s="157"/>
      <c r="D47" s="157"/>
      <c r="E47" s="157"/>
      <c r="F47" s="157"/>
      <c r="G47" s="158">
        <f>G43</f>
        <v>-22102</v>
      </c>
      <c r="H47" s="158">
        <f t="shared" ref="H47:U47" si="8">H43</f>
        <v>-22102</v>
      </c>
      <c r="I47" s="158">
        <f t="shared" si="8"/>
        <v>-22102</v>
      </c>
      <c r="J47" s="158">
        <f t="shared" si="8"/>
        <v>-22102</v>
      </c>
      <c r="K47" s="158">
        <f t="shared" si="8"/>
        <v>-22102</v>
      </c>
      <c r="L47" s="158">
        <f t="shared" si="8"/>
        <v>-22102</v>
      </c>
      <c r="M47" s="158">
        <f t="shared" si="8"/>
        <v>-22102</v>
      </c>
      <c r="N47" s="158">
        <f t="shared" si="8"/>
        <v>-8472</v>
      </c>
      <c r="O47" s="158">
        <f t="shared" si="8"/>
        <v>0</v>
      </c>
      <c r="P47" s="158">
        <f t="shared" si="8"/>
        <v>0</v>
      </c>
      <c r="Q47" s="158">
        <f t="shared" si="8"/>
        <v>0</v>
      </c>
      <c r="R47" s="158">
        <f t="shared" si="8"/>
        <v>0</v>
      </c>
      <c r="S47" s="158">
        <f t="shared" si="8"/>
        <v>0</v>
      </c>
      <c r="T47" s="158">
        <f t="shared" si="8"/>
        <v>0</v>
      </c>
      <c r="U47" s="158">
        <f t="shared" si="8"/>
        <v>0</v>
      </c>
    </row>
    <row r="48" spans="1:22" x14ac:dyDescent="0.3">
      <c r="B48" s="157" t="s">
        <v>44</v>
      </c>
      <c r="C48" s="157"/>
      <c r="D48" s="157"/>
      <c r="E48" s="157"/>
      <c r="F48" s="157"/>
      <c r="G48" s="158">
        <f t="shared" ref="G48:U48" si="9">G11</f>
        <v>604075</v>
      </c>
      <c r="H48" s="158">
        <f t="shared" si="9"/>
        <v>611500</v>
      </c>
      <c r="I48" s="158">
        <f t="shared" si="9"/>
        <v>571645</v>
      </c>
      <c r="J48" s="158">
        <f t="shared" si="9"/>
        <v>919695</v>
      </c>
      <c r="K48" s="158">
        <f t="shared" si="9"/>
        <v>580055</v>
      </c>
      <c r="L48" s="158">
        <f t="shared" si="9"/>
        <v>586650</v>
      </c>
      <c r="M48" s="158">
        <f t="shared" si="9"/>
        <v>603345</v>
      </c>
      <c r="N48" s="158">
        <f t="shared" si="9"/>
        <v>595110</v>
      </c>
      <c r="O48" s="158">
        <f t="shared" si="9"/>
        <v>617740</v>
      </c>
      <c r="P48" s="158">
        <f t="shared" si="9"/>
        <v>620345</v>
      </c>
      <c r="Q48" s="158">
        <f t="shared" si="9"/>
        <v>629320</v>
      </c>
      <c r="R48" s="158">
        <f t="shared" si="9"/>
        <v>661710</v>
      </c>
      <c r="S48" s="158">
        <f t="shared" si="9"/>
        <v>883175</v>
      </c>
      <c r="T48" s="158">
        <f t="shared" si="9"/>
        <v>904835</v>
      </c>
      <c r="U48" s="158">
        <f t="shared" si="9"/>
        <v>911350</v>
      </c>
    </row>
    <row r="49" spans="1:22" x14ac:dyDescent="0.3">
      <c r="B49" s="157" t="s">
        <v>45</v>
      </c>
      <c r="C49" s="157"/>
      <c r="D49" s="157"/>
      <c r="E49" s="157"/>
      <c r="F49" s="157"/>
      <c r="G49" s="158">
        <f>G18</f>
        <v>-625</v>
      </c>
      <c r="H49" s="158">
        <f t="shared" ref="H49:U49" si="10">H18</f>
        <v>-625</v>
      </c>
      <c r="I49" s="158">
        <f t="shared" si="10"/>
        <v>-625</v>
      </c>
      <c r="J49" s="158">
        <f t="shared" si="10"/>
        <v>-625</v>
      </c>
      <c r="K49" s="158">
        <f t="shared" si="10"/>
        <v>-625</v>
      </c>
      <c r="L49" s="158">
        <f t="shared" si="10"/>
        <v>-625</v>
      </c>
      <c r="M49" s="158">
        <f t="shared" si="10"/>
        <v>-625</v>
      </c>
      <c r="N49" s="158">
        <f t="shared" si="10"/>
        <v>-625</v>
      </c>
      <c r="O49" s="158">
        <f t="shared" si="10"/>
        <v>-625</v>
      </c>
      <c r="P49" s="158">
        <f t="shared" si="10"/>
        <v>-625</v>
      </c>
      <c r="Q49" s="158">
        <f t="shared" si="10"/>
        <v>-625</v>
      </c>
      <c r="R49" s="158">
        <f t="shared" si="10"/>
        <v>-625</v>
      </c>
      <c r="S49" s="158">
        <f t="shared" si="10"/>
        <v>-625</v>
      </c>
      <c r="T49" s="158">
        <f t="shared" si="10"/>
        <v>-625</v>
      </c>
      <c r="U49" s="158">
        <f t="shared" si="10"/>
        <v>-625</v>
      </c>
    </row>
    <row r="50" spans="1:22" x14ac:dyDescent="0.3">
      <c r="B50" s="157" t="s">
        <v>170</v>
      </c>
      <c r="C50" s="157"/>
      <c r="D50" s="157"/>
      <c r="E50" s="157"/>
      <c r="F50" s="157"/>
      <c r="G50" s="158">
        <f>SUM(G46:G49)</f>
        <v>581348</v>
      </c>
      <c r="H50" s="158">
        <f t="shared" ref="H50:U50" si="11">SUM(H46:H49)</f>
        <v>588773</v>
      </c>
      <c r="I50" s="158">
        <f t="shared" si="11"/>
        <v>548918</v>
      </c>
      <c r="J50" s="158">
        <f t="shared" si="11"/>
        <v>896968</v>
      </c>
      <c r="K50" s="158">
        <f t="shared" si="11"/>
        <v>557328</v>
      </c>
      <c r="L50" s="158">
        <f t="shared" si="11"/>
        <v>563923</v>
      </c>
      <c r="M50" s="158">
        <f t="shared" si="11"/>
        <v>580618</v>
      </c>
      <c r="N50" s="158">
        <f t="shared" si="11"/>
        <v>586013</v>
      </c>
      <c r="O50" s="158">
        <f t="shared" si="11"/>
        <v>617115</v>
      </c>
      <c r="P50" s="158">
        <f t="shared" si="11"/>
        <v>619720</v>
      </c>
      <c r="Q50" s="158">
        <f t="shared" si="11"/>
        <v>628695</v>
      </c>
      <c r="R50" s="158">
        <f t="shared" si="11"/>
        <v>661085</v>
      </c>
      <c r="S50" s="158">
        <f t="shared" si="11"/>
        <v>882550</v>
      </c>
      <c r="T50" s="158">
        <f t="shared" si="11"/>
        <v>904210</v>
      </c>
      <c r="U50" s="158">
        <f t="shared" si="11"/>
        <v>910725</v>
      </c>
    </row>
    <row r="51" spans="1:22" x14ac:dyDescent="0.3">
      <c r="B51" s="157" t="s">
        <v>153</v>
      </c>
      <c r="C51" s="157"/>
      <c r="D51" s="157"/>
      <c r="E51" s="157"/>
      <c r="F51" s="157"/>
      <c r="G51" s="158">
        <f>G19</f>
        <v>-28216.800000000003</v>
      </c>
      <c r="H51" s="158">
        <f t="shared" ref="H51:U51" si="12">H19</f>
        <v>-23796.400000000001</v>
      </c>
      <c r="I51" s="158">
        <f t="shared" si="12"/>
        <v>-19376</v>
      </c>
      <c r="J51" s="158">
        <f t="shared" si="12"/>
        <v>-14955.6</v>
      </c>
      <c r="K51" s="158">
        <f t="shared" si="12"/>
        <v>-10535.2</v>
      </c>
      <c r="L51" s="158">
        <f t="shared" si="12"/>
        <v>-6114.8</v>
      </c>
      <c r="M51" s="158">
        <f t="shared" si="12"/>
        <v>-1694.4</v>
      </c>
      <c r="N51" s="158">
        <f t="shared" si="12"/>
        <v>0</v>
      </c>
      <c r="O51" s="158">
        <f t="shared" si="12"/>
        <v>0</v>
      </c>
      <c r="P51" s="158">
        <f t="shared" si="12"/>
        <v>0</v>
      </c>
      <c r="Q51" s="158">
        <f t="shared" si="12"/>
        <v>0</v>
      </c>
      <c r="R51" s="158">
        <f t="shared" si="12"/>
        <v>0</v>
      </c>
      <c r="S51" s="158">
        <f t="shared" si="12"/>
        <v>0</v>
      </c>
      <c r="T51" s="158">
        <f t="shared" si="12"/>
        <v>0</v>
      </c>
      <c r="U51" s="158">
        <f t="shared" si="12"/>
        <v>0</v>
      </c>
    </row>
    <row r="52" spans="1:22" x14ac:dyDescent="0.3">
      <c r="B52" s="157" t="s">
        <v>154</v>
      </c>
      <c r="C52" s="157"/>
      <c r="D52" s="157"/>
      <c r="E52" s="157"/>
      <c r="F52" s="157"/>
      <c r="G52" s="377">
        <f>G20</f>
        <v>-120430</v>
      </c>
      <c r="H52" s="377">
        <f t="shared" ref="H52:U52" si="13">H20</f>
        <v>-121915</v>
      </c>
      <c r="I52" s="377">
        <f t="shared" si="13"/>
        <v>-113944</v>
      </c>
      <c r="J52" s="377">
        <f t="shared" si="13"/>
        <v>-183554</v>
      </c>
      <c r="K52" s="377">
        <f t="shared" si="13"/>
        <v>-115626</v>
      </c>
      <c r="L52" s="377">
        <f t="shared" si="13"/>
        <v>-116945</v>
      </c>
      <c r="M52" s="377">
        <f t="shared" si="13"/>
        <v>-120284</v>
      </c>
      <c r="N52" s="377">
        <f t="shared" si="13"/>
        <v>-118637</v>
      </c>
      <c r="O52" s="377">
        <f t="shared" si="13"/>
        <v>-123163</v>
      </c>
      <c r="P52" s="377">
        <f t="shared" si="13"/>
        <v>-123684</v>
      </c>
      <c r="Q52" s="377">
        <f t="shared" si="13"/>
        <v>-125479</v>
      </c>
      <c r="R52" s="377">
        <f t="shared" si="13"/>
        <v>-131957</v>
      </c>
      <c r="S52" s="377">
        <f t="shared" si="13"/>
        <v>-176250</v>
      </c>
      <c r="T52" s="377">
        <f t="shared" si="13"/>
        <v>-180582</v>
      </c>
      <c r="U52" s="377">
        <f t="shared" si="13"/>
        <v>-181885</v>
      </c>
    </row>
    <row r="53" spans="1:22" x14ac:dyDescent="0.3">
      <c r="B53" s="157" t="s">
        <v>168</v>
      </c>
      <c r="C53" s="157"/>
      <c r="D53" s="157"/>
      <c r="E53" s="157"/>
      <c r="F53" s="157"/>
      <c r="G53" s="158">
        <f>SUM(G50:G52)</f>
        <v>432701.19999999995</v>
      </c>
      <c r="H53" s="158">
        <f>SUM(H50:H52)</f>
        <v>443061.6</v>
      </c>
      <c r="I53" s="158">
        <f t="shared" ref="I53:U53" si="14">SUM(I50:I52)</f>
        <v>415598</v>
      </c>
      <c r="J53" s="158">
        <f t="shared" si="14"/>
        <v>698458.4</v>
      </c>
      <c r="K53" s="158">
        <f t="shared" si="14"/>
        <v>431166.80000000005</v>
      </c>
      <c r="L53" s="158">
        <f t="shared" si="14"/>
        <v>440863.19999999995</v>
      </c>
      <c r="M53" s="158">
        <f t="shared" si="14"/>
        <v>458639.6</v>
      </c>
      <c r="N53" s="158">
        <f t="shared" si="14"/>
        <v>467376</v>
      </c>
      <c r="O53" s="158">
        <f t="shared" si="14"/>
        <v>493952</v>
      </c>
      <c r="P53" s="158">
        <f t="shared" si="14"/>
        <v>496036</v>
      </c>
      <c r="Q53" s="158">
        <f t="shared" si="14"/>
        <v>503216</v>
      </c>
      <c r="R53" s="158">
        <f t="shared" si="14"/>
        <v>529128</v>
      </c>
      <c r="S53" s="158">
        <f t="shared" si="14"/>
        <v>706300</v>
      </c>
      <c r="T53" s="158">
        <f t="shared" si="14"/>
        <v>723628</v>
      </c>
      <c r="U53" s="158">
        <f t="shared" si="14"/>
        <v>728840</v>
      </c>
    </row>
    <row r="54" spans="1:22" x14ac:dyDescent="0.3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2" x14ac:dyDescent="0.3">
      <c r="A55" s="154"/>
      <c r="B55" s="181" t="s">
        <v>171</v>
      </c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</row>
    <row r="56" spans="1:22" x14ac:dyDescent="0.3">
      <c r="B56" s="357" t="s">
        <v>172</v>
      </c>
      <c r="C56" s="357"/>
      <c r="D56" s="357"/>
      <c r="E56" s="357"/>
      <c r="F56" s="357"/>
      <c r="G56" s="223">
        <f>SUM(G23+G28)</f>
        <v>454803.20000000001</v>
      </c>
      <c r="H56" s="223">
        <f t="shared" ref="H56:U56" si="15">SUM(H23+H28)</f>
        <v>465163.6</v>
      </c>
      <c r="I56" s="223">
        <f t="shared" si="15"/>
        <v>437700</v>
      </c>
      <c r="J56" s="223">
        <f t="shared" si="15"/>
        <v>720560.4</v>
      </c>
      <c r="K56" s="223">
        <f t="shared" si="15"/>
        <v>453268.8</v>
      </c>
      <c r="L56" s="223">
        <f t="shared" si="15"/>
        <v>462965.2</v>
      </c>
      <c r="M56" s="223">
        <f t="shared" si="15"/>
        <v>480741.6</v>
      </c>
      <c r="N56" s="223">
        <f t="shared" si="15"/>
        <v>475848</v>
      </c>
      <c r="O56" s="223">
        <f t="shared" si="15"/>
        <v>493952</v>
      </c>
      <c r="P56" s="223">
        <f t="shared" si="15"/>
        <v>496036</v>
      </c>
      <c r="Q56" s="223">
        <f t="shared" si="15"/>
        <v>503216</v>
      </c>
      <c r="R56" s="223">
        <f t="shared" si="15"/>
        <v>529128</v>
      </c>
      <c r="S56" s="223">
        <f t="shared" si="15"/>
        <v>719816.4</v>
      </c>
      <c r="T56" s="223">
        <f t="shared" si="15"/>
        <v>737144.4</v>
      </c>
      <c r="U56" s="223">
        <f t="shared" si="15"/>
        <v>742356.4</v>
      </c>
    </row>
    <row r="57" spans="1:22" x14ac:dyDescent="0.3">
      <c r="B57" s="357" t="s">
        <v>173</v>
      </c>
      <c r="C57" s="357"/>
      <c r="D57" s="357"/>
      <c r="E57" s="357"/>
      <c r="F57" s="357"/>
      <c r="G57" s="223">
        <f>G53</f>
        <v>432701.19999999995</v>
      </c>
      <c r="H57" s="223">
        <f t="shared" ref="H57:U57" si="16">H53</f>
        <v>443061.6</v>
      </c>
      <c r="I57" s="223">
        <f t="shared" si="16"/>
        <v>415598</v>
      </c>
      <c r="J57" s="223">
        <f t="shared" si="16"/>
        <v>698458.4</v>
      </c>
      <c r="K57" s="223">
        <f t="shared" si="16"/>
        <v>431166.80000000005</v>
      </c>
      <c r="L57" s="223">
        <f t="shared" si="16"/>
        <v>440863.19999999995</v>
      </c>
      <c r="M57" s="223">
        <f t="shared" si="16"/>
        <v>458639.6</v>
      </c>
      <c r="N57" s="223">
        <f t="shared" si="16"/>
        <v>467376</v>
      </c>
      <c r="O57" s="223">
        <f t="shared" si="16"/>
        <v>493952</v>
      </c>
      <c r="P57" s="223">
        <f t="shared" si="16"/>
        <v>496036</v>
      </c>
      <c r="Q57" s="223">
        <f t="shared" si="16"/>
        <v>503216</v>
      </c>
      <c r="R57" s="223">
        <f t="shared" si="16"/>
        <v>529128</v>
      </c>
      <c r="S57" s="223">
        <f t="shared" si="16"/>
        <v>706300</v>
      </c>
      <c r="T57" s="223">
        <f t="shared" si="16"/>
        <v>723628</v>
      </c>
      <c r="U57" s="223">
        <f t="shared" si="16"/>
        <v>728840</v>
      </c>
    </row>
    <row r="58" spans="1:22" x14ac:dyDescent="0.3">
      <c r="B58" s="357" t="s">
        <v>174</v>
      </c>
      <c r="C58" s="357"/>
      <c r="D58" s="357"/>
      <c r="E58" s="357"/>
      <c r="F58" s="357"/>
      <c r="G58" s="223">
        <f>G53</f>
        <v>432701.19999999995</v>
      </c>
      <c r="H58" s="223">
        <f t="shared" ref="H58:T58" si="17">H53</f>
        <v>443061.6</v>
      </c>
      <c r="I58" s="223">
        <f t="shared" si="17"/>
        <v>415598</v>
      </c>
      <c r="J58" s="223">
        <f t="shared" si="17"/>
        <v>698458.4</v>
      </c>
      <c r="K58" s="223">
        <f t="shared" si="17"/>
        <v>431166.80000000005</v>
      </c>
      <c r="L58" s="223">
        <f t="shared" si="17"/>
        <v>440863.19999999995</v>
      </c>
      <c r="M58" s="223">
        <f t="shared" si="17"/>
        <v>458639.6</v>
      </c>
      <c r="N58" s="223">
        <f t="shared" si="17"/>
        <v>467376</v>
      </c>
      <c r="O58" s="223">
        <f t="shared" si="17"/>
        <v>493952</v>
      </c>
      <c r="P58" s="223">
        <f t="shared" si="17"/>
        <v>496036</v>
      </c>
      <c r="Q58" s="223">
        <f t="shared" si="17"/>
        <v>503216</v>
      </c>
      <c r="R58" s="223">
        <f t="shared" si="17"/>
        <v>529128</v>
      </c>
      <c r="S58" s="223">
        <f t="shared" si="17"/>
        <v>706300</v>
      </c>
      <c r="T58" s="223">
        <f t="shared" si="17"/>
        <v>723628</v>
      </c>
      <c r="U58" s="223">
        <f>U53</f>
        <v>728840</v>
      </c>
    </row>
    <row r="59" spans="1:22" x14ac:dyDescent="0.3">
      <c r="B59" s="357" t="s">
        <v>166</v>
      </c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357"/>
      <c r="O59" s="357"/>
      <c r="P59" s="357"/>
      <c r="Q59" s="357"/>
      <c r="R59" s="357"/>
      <c r="S59" s="357"/>
      <c r="T59" s="357"/>
      <c r="U59" s="357"/>
    </row>
    <row r="60" spans="1:22" x14ac:dyDescent="0.3">
      <c r="B60" s="357" t="s">
        <v>168</v>
      </c>
      <c r="C60" s="357"/>
      <c r="D60" s="357"/>
      <c r="E60" s="357"/>
      <c r="F60" s="357"/>
      <c r="G60" s="223">
        <f>G53</f>
        <v>432701.19999999995</v>
      </c>
      <c r="H60" s="223">
        <f t="shared" ref="H60:U60" si="18">H53</f>
        <v>443061.6</v>
      </c>
      <c r="I60" s="223">
        <f t="shared" si="18"/>
        <v>415598</v>
      </c>
      <c r="J60" s="223">
        <f t="shared" si="18"/>
        <v>698458.4</v>
      </c>
      <c r="K60" s="223">
        <f t="shared" si="18"/>
        <v>431166.80000000005</v>
      </c>
      <c r="L60" s="223">
        <f t="shared" si="18"/>
        <v>440863.19999999995</v>
      </c>
      <c r="M60" s="223">
        <f t="shared" si="18"/>
        <v>458639.6</v>
      </c>
      <c r="N60" s="223">
        <f t="shared" si="18"/>
        <v>467376</v>
      </c>
      <c r="O60" s="223">
        <f t="shared" si="18"/>
        <v>493952</v>
      </c>
      <c r="P60" s="223">
        <f t="shared" si="18"/>
        <v>496036</v>
      </c>
      <c r="Q60" s="223">
        <f t="shared" si="18"/>
        <v>503216</v>
      </c>
      <c r="R60" s="223">
        <f t="shared" si="18"/>
        <v>529128</v>
      </c>
      <c r="S60" s="223">
        <f t="shared" si="18"/>
        <v>706300</v>
      </c>
      <c r="T60" s="223">
        <f t="shared" si="18"/>
        <v>723628</v>
      </c>
      <c r="U60" s="223">
        <f t="shared" si="18"/>
        <v>728840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06A4-FE60-4CEF-8D7C-51890E14B25E}">
  <sheetPr codeName="Sheet30"/>
  <dimension ref="A1:Y470"/>
  <sheetViews>
    <sheetView showGridLines="0" workbookViewId="0">
      <selection activeCell="R5" sqref="R5:T5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8" width="10.33203125" customWidth="1"/>
    <col min="9" max="9" width="10.44140625" customWidth="1"/>
    <col min="10" max="10" width="9.6640625" customWidth="1"/>
    <col min="11" max="11" width="10.109375" customWidth="1"/>
    <col min="12" max="13" width="9.77734375" customWidth="1"/>
    <col min="14" max="14" width="10.5546875" customWidth="1"/>
    <col min="15" max="15" width="9.88671875" customWidth="1"/>
    <col min="16" max="16" width="9.77734375" customWidth="1"/>
    <col min="17" max="17" width="10.33203125" customWidth="1"/>
    <col min="18" max="18" width="9.88671875" bestFit="1" customWidth="1"/>
    <col min="19" max="19" width="10" customWidth="1"/>
    <col min="20" max="20" width="10.109375" customWidth="1"/>
    <col min="21" max="21" width="11.3320312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175</v>
      </c>
      <c r="F2"/>
    </row>
    <row r="3" spans="1:25" x14ac:dyDescent="0.3">
      <c r="B3" t="s">
        <v>145</v>
      </c>
      <c r="F3"/>
    </row>
    <row r="4" spans="1:25" x14ac:dyDescent="0.3">
      <c r="F4"/>
    </row>
    <row r="5" spans="1:25" x14ac:dyDescent="0.3">
      <c r="A5" s="154"/>
      <c r="B5" s="181" t="s">
        <v>176</v>
      </c>
      <c r="C5" s="154"/>
      <c r="D5" s="154"/>
      <c r="E5" s="154"/>
      <c r="F5" s="213">
        <v>2026</v>
      </c>
      <c r="G5" s="213">
        <v>2026</v>
      </c>
      <c r="H5" s="213">
        <v>2026</v>
      </c>
      <c r="I5" s="213">
        <v>2026</v>
      </c>
      <c r="J5" s="213">
        <v>2026</v>
      </c>
      <c r="K5" s="213">
        <v>2026</v>
      </c>
      <c r="L5" s="213">
        <v>2026</v>
      </c>
      <c r="M5" s="213">
        <v>2026</v>
      </c>
      <c r="N5" s="213">
        <v>2026</v>
      </c>
      <c r="O5" s="213">
        <v>2026</v>
      </c>
      <c r="P5" s="213">
        <v>2026</v>
      </c>
      <c r="Q5" s="213">
        <v>2026</v>
      </c>
      <c r="R5" s="213">
        <v>2027</v>
      </c>
      <c r="S5" s="213">
        <v>2027</v>
      </c>
      <c r="T5" s="213">
        <v>2027</v>
      </c>
      <c r="U5" s="154"/>
    </row>
    <row r="6" spans="1:25" ht="15" thickBot="1" x14ac:dyDescent="0.35">
      <c r="A6" s="166"/>
      <c r="B6" s="167" t="s">
        <v>70</v>
      </c>
      <c r="C6" s="155"/>
      <c r="D6" s="155"/>
      <c r="E6" s="155"/>
      <c r="F6" s="212" t="s">
        <v>32</v>
      </c>
      <c r="G6" s="212" t="s">
        <v>33</v>
      </c>
      <c r="H6" s="212" t="s">
        <v>34</v>
      </c>
      <c r="I6" s="212" t="s">
        <v>35</v>
      </c>
      <c r="J6" s="212" t="s">
        <v>36</v>
      </c>
      <c r="K6" s="212" t="s">
        <v>37</v>
      </c>
      <c r="L6" s="212" t="s">
        <v>38</v>
      </c>
      <c r="M6" s="212" t="s">
        <v>39</v>
      </c>
      <c r="N6" s="212" t="s">
        <v>40</v>
      </c>
      <c r="O6" s="212" t="s">
        <v>41</v>
      </c>
      <c r="P6" s="212" t="s">
        <v>42</v>
      </c>
      <c r="Q6" s="212" t="s">
        <v>43</v>
      </c>
      <c r="R6" s="212" t="s">
        <v>32</v>
      </c>
      <c r="S6" s="212" t="s">
        <v>33</v>
      </c>
      <c r="T6" s="212" t="s">
        <v>34</v>
      </c>
      <c r="U6" s="209" t="s">
        <v>78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6" t="s">
        <v>310</v>
      </c>
      <c r="F8"/>
    </row>
    <row r="9" spans="1:25" x14ac:dyDescent="0.3">
      <c r="C9" s="177"/>
      <c r="F9"/>
    </row>
    <row r="10" spans="1:25" x14ac:dyDescent="0.3">
      <c r="C10" s="176" t="s">
        <v>55</v>
      </c>
      <c r="F10"/>
      <c r="G10" s="178"/>
      <c r="H10" s="178"/>
      <c r="I10" s="178"/>
      <c r="J10" s="178"/>
      <c r="K10" s="178"/>
      <c r="L10" s="177"/>
      <c r="M10" s="178"/>
      <c r="N10" s="178"/>
      <c r="O10" s="178"/>
      <c r="P10" s="178"/>
      <c r="Q10" s="178"/>
      <c r="R10" s="178"/>
      <c r="S10" s="178"/>
      <c r="T10" s="178"/>
      <c r="V10" s="1"/>
    </row>
    <row r="11" spans="1:25" x14ac:dyDescent="0.3">
      <c r="C11" s="177" t="s">
        <v>177</v>
      </c>
      <c r="F11" s="178">
        <f>'BS 2025'!Q14+'CF 2026'!G53</f>
        <v>7772493.3871999998</v>
      </c>
      <c r="G11" s="178">
        <f>F14+'CF 2026'!H53</f>
        <v>8215554.9871999994</v>
      </c>
      <c r="H11" s="178">
        <f>G14+'CF 2026'!I53</f>
        <v>8631152.9871999994</v>
      </c>
      <c r="I11" s="178">
        <f>H14+'CF 2026'!J53</f>
        <v>9329611.3871999998</v>
      </c>
      <c r="J11" s="178">
        <f>I14+'CF 2026'!K53</f>
        <v>9760778.1872000005</v>
      </c>
      <c r="K11" s="178">
        <f>J14+'CF 2026'!L53</f>
        <v>10201641.3872</v>
      </c>
      <c r="L11" s="178">
        <f>K14+'CF 2026'!M53</f>
        <v>10660280.987199999</v>
      </c>
      <c r="M11" s="178">
        <f>L14+'CF 2026'!N53</f>
        <v>11127656.987199999</v>
      </c>
      <c r="N11" s="178">
        <f>M14+'CF 2026'!O53</f>
        <v>11621608.987199999</v>
      </c>
      <c r="O11" s="178">
        <f>N14+'CF 2026'!P53</f>
        <v>12117644.987199999</v>
      </c>
      <c r="P11" s="178">
        <f>O14+'CF 2026'!Q53</f>
        <v>12620860.987199999</v>
      </c>
      <c r="Q11" s="178">
        <f>P14+'CF 2026'!R53</f>
        <v>13149988.987199999</v>
      </c>
      <c r="R11" s="178">
        <f>'BS 2027'!F11</f>
        <v>13869805.3872</v>
      </c>
      <c r="S11" s="178">
        <f>'BS 2027'!G11</f>
        <v>14606949.7872</v>
      </c>
      <c r="T11" s="178">
        <f>'BS 2027'!H11</f>
        <v>15349306.187200001</v>
      </c>
      <c r="V11" s="1"/>
    </row>
    <row r="12" spans="1:25" x14ac:dyDescent="0.3">
      <c r="C12" s="177" t="s">
        <v>178</v>
      </c>
      <c r="F12" s="178"/>
      <c r="G12" s="177"/>
      <c r="H12" s="177"/>
      <c r="I12" s="177" t="s">
        <v>195</v>
      </c>
      <c r="J12" s="177"/>
      <c r="K12" s="177" t="s">
        <v>195</v>
      </c>
      <c r="L12" s="177"/>
      <c r="M12" s="177"/>
      <c r="N12" s="177"/>
      <c r="O12" s="177"/>
      <c r="P12" s="177"/>
      <c r="Q12" s="177"/>
      <c r="R12" s="177"/>
      <c r="S12" s="177" t="s">
        <v>195</v>
      </c>
      <c r="T12" s="177" t="s">
        <v>195</v>
      </c>
      <c r="V12" s="1"/>
    </row>
    <row r="13" spans="1:25" x14ac:dyDescent="0.3">
      <c r="C13" s="177" t="s">
        <v>179</v>
      </c>
      <c r="F13"/>
      <c r="I13" s="178"/>
      <c r="K13" s="178"/>
      <c r="S13" s="178"/>
      <c r="T13" s="178"/>
      <c r="V13" s="1"/>
    </row>
    <row r="14" spans="1:25" x14ac:dyDescent="0.3">
      <c r="C14" s="177" t="s">
        <v>180</v>
      </c>
      <c r="F14" s="178">
        <f>SUM(F11:F13)</f>
        <v>7772493.3871999998</v>
      </c>
      <c r="G14" s="178">
        <f t="shared" ref="G14:Q14" si="0">SUM(G11:G13)</f>
        <v>8215554.9871999994</v>
      </c>
      <c r="H14" s="178">
        <f t="shared" si="0"/>
        <v>8631152.9871999994</v>
      </c>
      <c r="I14" s="178">
        <f t="shared" si="0"/>
        <v>9329611.3871999998</v>
      </c>
      <c r="J14" s="178">
        <f t="shared" si="0"/>
        <v>9760778.1872000005</v>
      </c>
      <c r="K14" s="178">
        <f t="shared" si="0"/>
        <v>10201641.3872</v>
      </c>
      <c r="L14" s="178">
        <f t="shared" si="0"/>
        <v>10660280.987199999</v>
      </c>
      <c r="M14" s="178">
        <f t="shared" si="0"/>
        <v>11127656.987199999</v>
      </c>
      <c r="N14" s="178">
        <f t="shared" si="0"/>
        <v>11621608.987199999</v>
      </c>
      <c r="O14" s="178">
        <f t="shared" si="0"/>
        <v>12117644.987199999</v>
      </c>
      <c r="P14" s="178">
        <f t="shared" si="0"/>
        <v>12620860.987199999</v>
      </c>
      <c r="Q14" s="178">
        <f t="shared" si="0"/>
        <v>13149988.987199999</v>
      </c>
      <c r="R14" s="178">
        <f t="shared" ref="R14" si="1">SUM(R11:R13)</f>
        <v>13869805.3872</v>
      </c>
      <c r="S14" s="178">
        <f t="shared" ref="S14" si="2">SUM(S11:S13)</f>
        <v>14606949.7872</v>
      </c>
      <c r="T14" s="178">
        <f t="shared" ref="T14" si="3">SUM(T11:T13)</f>
        <v>15349306.187200001</v>
      </c>
      <c r="U14" s="223">
        <f>SUM(F14:Q14)</f>
        <v>125209274.24639997</v>
      </c>
      <c r="V14" s="1"/>
    </row>
    <row r="15" spans="1:25" x14ac:dyDescent="0.3">
      <c r="C15" s="176" t="s">
        <v>56</v>
      </c>
      <c r="F15"/>
      <c r="G15" s="177"/>
      <c r="H15" s="177"/>
      <c r="I15" s="177"/>
      <c r="J15" s="180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V15" s="1"/>
    </row>
    <row r="16" spans="1:25" x14ac:dyDescent="0.3">
      <c r="C16" s="179" t="s">
        <v>181</v>
      </c>
      <c r="F16" s="178">
        <f>'BS 2025'!Q16-'IS 2026'!F60</f>
        <v>490182</v>
      </c>
      <c r="G16" s="178">
        <f>F16-'IS 2026'!G60</f>
        <v>492032</v>
      </c>
      <c r="H16" s="178">
        <f>G16-'IS 2026'!H60</f>
        <v>493882</v>
      </c>
      <c r="I16" s="178">
        <f>H16-'IS 2026'!I60</f>
        <v>495593</v>
      </c>
      <c r="J16" s="178">
        <f>I16-'IS 2026'!J60</f>
        <v>497304</v>
      </c>
      <c r="K16" s="178">
        <f>J16-'IS 2026'!K60</f>
        <v>499015</v>
      </c>
      <c r="L16" s="178">
        <f>K16-'IS 2026'!L60</f>
        <v>500726</v>
      </c>
      <c r="M16" s="178">
        <f>L16-'IS 2026'!M60</f>
        <v>502437</v>
      </c>
      <c r="N16" s="178">
        <f>M16-'IS 2026'!N60</f>
        <v>504148</v>
      </c>
      <c r="O16" s="178">
        <f>N16-'IS 2026'!O60</f>
        <v>505859</v>
      </c>
      <c r="P16" s="178">
        <f>O16-'IS 2026'!P60</f>
        <v>507570</v>
      </c>
      <c r="Q16" s="178">
        <f>P16-'IS 2026'!Q60</f>
        <v>509481</v>
      </c>
      <c r="R16" s="178">
        <f>'BS 2027'!F16</f>
        <v>511392</v>
      </c>
      <c r="S16" s="185">
        <f>R16-'IS 2026'!G60</f>
        <v>513242</v>
      </c>
      <c r="T16" s="185">
        <f>S16-'IS 2026'!H60</f>
        <v>515092</v>
      </c>
      <c r="V16" s="1"/>
    </row>
    <row r="17" spans="1:22" x14ac:dyDescent="0.3">
      <c r="C17" s="179" t="s">
        <v>182</v>
      </c>
      <c r="F17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V17" s="1"/>
    </row>
    <row r="18" spans="1:22" x14ac:dyDescent="0.3">
      <c r="C18" s="179" t="s">
        <v>183</v>
      </c>
      <c r="F18" s="185">
        <f>SUM(F16:F17)</f>
        <v>490182</v>
      </c>
      <c r="G18" s="185">
        <f t="shared" ref="G18:T19" si="4">SUM(G16:G17)</f>
        <v>492032</v>
      </c>
      <c r="H18" s="185">
        <f t="shared" si="4"/>
        <v>493882</v>
      </c>
      <c r="I18" s="185">
        <f t="shared" si="4"/>
        <v>495593</v>
      </c>
      <c r="J18" s="185">
        <f t="shared" si="4"/>
        <v>497304</v>
      </c>
      <c r="K18" s="185">
        <f t="shared" si="4"/>
        <v>499015</v>
      </c>
      <c r="L18" s="185">
        <f t="shared" si="4"/>
        <v>500726</v>
      </c>
      <c r="M18" s="185">
        <f t="shared" si="4"/>
        <v>502437</v>
      </c>
      <c r="N18" s="185">
        <f t="shared" si="4"/>
        <v>504148</v>
      </c>
      <c r="O18" s="185">
        <f t="shared" si="4"/>
        <v>505859</v>
      </c>
      <c r="P18" s="185">
        <f t="shared" si="4"/>
        <v>507570</v>
      </c>
      <c r="Q18" s="185">
        <f t="shared" si="4"/>
        <v>509481</v>
      </c>
      <c r="R18" s="185">
        <f t="shared" si="4"/>
        <v>511392</v>
      </c>
      <c r="S18" s="185">
        <f t="shared" si="4"/>
        <v>513242</v>
      </c>
      <c r="T18" s="185">
        <f t="shared" si="4"/>
        <v>515092</v>
      </c>
      <c r="V18" s="1"/>
    </row>
    <row r="19" spans="1:22" x14ac:dyDescent="0.3">
      <c r="A19" s="149"/>
      <c r="B19" s="154"/>
      <c r="C19" s="188" t="s">
        <v>184</v>
      </c>
      <c r="D19" s="154"/>
      <c r="E19" s="154"/>
      <c r="F19" s="189">
        <f>SUM(F17:F18)</f>
        <v>490182</v>
      </c>
      <c r="G19" s="189">
        <f t="shared" si="4"/>
        <v>492032</v>
      </c>
      <c r="H19" s="189">
        <f t="shared" si="4"/>
        <v>493882</v>
      </c>
      <c r="I19" s="189">
        <f t="shared" si="4"/>
        <v>495593</v>
      </c>
      <c r="J19" s="189">
        <f t="shared" si="4"/>
        <v>497304</v>
      </c>
      <c r="K19" s="189">
        <f t="shared" si="4"/>
        <v>499015</v>
      </c>
      <c r="L19" s="189">
        <f t="shared" si="4"/>
        <v>500726</v>
      </c>
      <c r="M19" s="189">
        <f t="shared" si="4"/>
        <v>502437</v>
      </c>
      <c r="N19" s="189">
        <f t="shared" si="4"/>
        <v>504148</v>
      </c>
      <c r="O19" s="189">
        <f t="shared" si="4"/>
        <v>505859</v>
      </c>
      <c r="P19" s="189">
        <f t="shared" si="4"/>
        <v>507570</v>
      </c>
      <c r="Q19" s="189">
        <f t="shared" si="4"/>
        <v>509481</v>
      </c>
      <c r="R19" s="189">
        <f t="shared" si="4"/>
        <v>511392</v>
      </c>
      <c r="S19" s="189">
        <f t="shared" si="4"/>
        <v>513242</v>
      </c>
      <c r="T19" s="189">
        <f t="shared" si="4"/>
        <v>515092</v>
      </c>
      <c r="U19" s="162">
        <f>SUM(F19:Q19)</f>
        <v>5998229</v>
      </c>
      <c r="V19" s="1"/>
    </row>
    <row r="20" spans="1:22" x14ac:dyDescent="0.3">
      <c r="A20" s="166"/>
      <c r="B20" s="155"/>
      <c r="C20" s="190" t="s">
        <v>57</v>
      </c>
      <c r="D20" s="155"/>
      <c r="E20" s="155"/>
      <c r="F20" s="191">
        <f>F14+F19</f>
        <v>8262675.3871999998</v>
      </c>
      <c r="G20" s="191">
        <f>G14+G19</f>
        <v>8707586.9871999994</v>
      </c>
      <c r="H20" s="191">
        <f t="shared" ref="H20:T20" si="5">H14+H19</f>
        <v>9125034.9871999994</v>
      </c>
      <c r="I20" s="191">
        <f t="shared" si="5"/>
        <v>9825204.3871999998</v>
      </c>
      <c r="J20" s="191">
        <f t="shared" si="5"/>
        <v>10258082.187200001</v>
      </c>
      <c r="K20" s="191">
        <f t="shared" si="5"/>
        <v>10700656.3872</v>
      </c>
      <c r="L20" s="191">
        <f t="shared" si="5"/>
        <v>11161006.987199999</v>
      </c>
      <c r="M20" s="191">
        <f t="shared" si="5"/>
        <v>11630093.987199999</v>
      </c>
      <c r="N20" s="191">
        <f t="shared" si="5"/>
        <v>12125756.987199999</v>
      </c>
      <c r="O20" s="191">
        <f t="shared" si="5"/>
        <v>12623503.987199999</v>
      </c>
      <c r="P20" s="191">
        <f t="shared" si="5"/>
        <v>13128430.987199999</v>
      </c>
      <c r="Q20" s="191">
        <f t="shared" si="5"/>
        <v>13659469.987199999</v>
      </c>
      <c r="R20" s="191">
        <f t="shared" si="5"/>
        <v>14381197.3872</v>
      </c>
      <c r="S20" s="191">
        <f t="shared" si="5"/>
        <v>15120191.7872</v>
      </c>
      <c r="T20" s="191">
        <f t="shared" si="5"/>
        <v>15864398.187200001</v>
      </c>
      <c r="U20" s="156">
        <f>SUM(F20:Q20)</f>
        <v>131207503.24639997</v>
      </c>
      <c r="V20" s="1"/>
    </row>
    <row r="21" spans="1:22" x14ac:dyDescent="0.3">
      <c r="C21" s="187" t="s">
        <v>58</v>
      </c>
      <c r="F21"/>
      <c r="I21" s="180"/>
      <c r="K21" s="180"/>
      <c r="S21" s="180"/>
      <c r="T21" s="180"/>
      <c r="V21" s="1"/>
    </row>
    <row r="22" spans="1:22" x14ac:dyDescent="0.3">
      <c r="C22" s="179" t="s">
        <v>185</v>
      </c>
      <c r="F22" s="180"/>
      <c r="G22" s="180"/>
      <c r="Q22" s="180"/>
      <c r="V22" s="1"/>
    </row>
    <row r="23" spans="1:22" x14ac:dyDescent="0.3">
      <c r="C23" s="179" t="s">
        <v>186</v>
      </c>
      <c r="F23"/>
      <c r="H23" s="180"/>
      <c r="J23" s="180"/>
      <c r="V23" s="1"/>
    </row>
    <row r="24" spans="1:22" x14ac:dyDescent="0.3">
      <c r="C24" s="177" t="s">
        <v>187</v>
      </c>
      <c r="F24" s="178">
        <f>'CF 2026'!G52</f>
        <v>-120430</v>
      </c>
      <c r="G24" s="178">
        <f>'CF 2026'!H52</f>
        <v>-121915</v>
      </c>
      <c r="H24" s="178">
        <f>'CF 2026'!I52</f>
        <v>-113944</v>
      </c>
      <c r="I24" s="178">
        <f>'CF 2026'!J52</f>
        <v>-183554</v>
      </c>
      <c r="J24" s="178">
        <f>'CF 2026'!K52</f>
        <v>-115626</v>
      </c>
      <c r="K24" s="178">
        <f>'CF 2026'!L52</f>
        <v>-116945</v>
      </c>
      <c r="L24" s="178">
        <f>'CF 2026'!M52</f>
        <v>-120284</v>
      </c>
      <c r="M24" s="178">
        <f>'CF 2026'!N52</f>
        <v>-118637</v>
      </c>
      <c r="N24" s="178">
        <f>'CF 2026'!O52</f>
        <v>-123163</v>
      </c>
      <c r="O24" s="178">
        <f>'CF 2026'!P52</f>
        <v>-123684</v>
      </c>
      <c r="P24" s="178">
        <f>'CF 2026'!Q52</f>
        <v>-125479</v>
      </c>
      <c r="Q24" s="178">
        <f>'CF 2026'!R52</f>
        <v>-131957</v>
      </c>
      <c r="R24" s="178">
        <f>'CF 2026'!S52</f>
        <v>-176250</v>
      </c>
      <c r="S24" s="178">
        <f>'CF 2026'!T52</f>
        <v>-180582</v>
      </c>
      <c r="T24" s="178">
        <f>'CF 2026'!U52</f>
        <v>-181885</v>
      </c>
      <c r="V24" s="1"/>
    </row>
    <row r="25" spans="1:22" x14ac:dyDescent="0.3">
      <c r="A25" s="154"/>
      <c r="B25" s="154"/>
      <c r="C25" s="181" t="s">
        <v>188</v>
      </c>
      <c r="D25" s="154"/>
      <c r="E25" s="154"/>
      <c r="F25" s="162">
        <f>SUM(F22:F24)</f>
        <v>-120430</v>
      </c>
      <c r="G25" s="162">
        <f t="shared" ref="G25:T25" si="6">SUM(G22:G24)</f>
        <v>-121915</v>
      </c>
      <c r="H25" s="162">
        <f t="shared" si="6"/>
        <v>-113944</v>
      </c>
      <c r="I25" s="162">
        <f t="shared" si="6"/>
        <v>-183554</v>
      </c>
      <c r="J25" s="162">
        <f t="shared" si="6"/>
        <v>-115626</v>
      </c>
      <c r="K25" s="162">
        <f t="shared" si="6"/>
        <v>-116945</v>
      </c>
      <c r="L25" s="162">
        <f t="shared" si="6"/>
        <v>-120284</v>
      </c>
      <c r="M25" s="162">
        <f t="shared" si="6"/>
        <v>-118637</v>
      </c>
      <c r="N25" s="162">
        <f t="shared" si="6"/>
        <v>-123163</v>
      </c>
      <c r="O25" s="162">
        <f t="shared" si="6"/>
        <v>-123684</v>
      </c>
      <c r="P25" s="162">
        <f t="shared" si="6"/>
        <v>-125479</v>
      </c>
      <c r="Q25" s="162">
        <f t="shared" si="6"/>
        <v>-131957</v>
      </c>
      <c r="R25" s="162">
        <f t="shared" si="6"/>
        <v>-176250</v>
      </c>
      <c r="S25" s="162">
        <f t="shared" si="6"/>
        <v>-180582</v>
      </c>
      <c r="T25" s="162">
        <f t="shared" si="6"/>
        <v>-181885</v>
      </c>
      <c r="U25" s="162">
        <f>SUM(F25:Q25)</f>
        <v>-1515618</v>
      </c>
      <c r="V25" s="1"/>
    </row>
    <row r="26" spans="1:22" x14ac:dyDescent="0.3">
      <c r="A26" s="155"/>
      <c r="B26" s="155"/>
      <c r="C26" s="192" t="s">
        <v>59</v>
      </c>
      <c r="D26" s="155"/>
      <c r="E26" s="155"/>
      <c r="F26" s="156"/>
      <c r="G26" s="155"/>
      <c r="H26" s="155"/>
      <c r="I26" s="156"/>
      <c r="J26" s="155"/>
      <c r="K26" s="156"/>
      <c r="L26" s="193"/>
      <c r="M26" s="193"/>
      <c r="N26" s="193"/>
      <c r="O26" s="193"/>
      <c r="P26" s="193"/>
      <c r="Q26" s="155"/>
      <c r="R26" s="193"/>
      <c r="S26" s="156"/>
      <c r="T26" s="156"/>
      <c r="U26" s="155"/>
      <c r="V26" s="1"/>
    </row>
    <row r="27" spans="1:22" x14ac:dyDescent="0.3">
      <c r="C27" s="176" t="s">
        <v>189</v>
      </c>
      <c r="F27" s="185">
        <f>'BS 2025'!Q27-'CF 2026'!G34</f>
        <v>-141084</v>
      </c>
      <c r="G27" s="185">
        <f>F27-'CF 2026'!H34</f>
        <v>-118982</v>
      </c>
      <c r="H27" s="185">
        <f>G27-'CF 2026'!I34</f>
        <v>-96880</v>
      </c>
      <c r="I27" s="185">
        <f>H27-'CF 2026'!J34</f>
        <v>-74778</v>
      </c>
      <c r="J27" s="185">
        <f>I27-'CF 2026'!K34</f>
        <v>-52676</v>
      </c>
      <c r="K27" s="185">
        <f>J27-'CF 2026'!L34</f>
        <v>-30574</v>
      </c>
      <c r="L27" s="185">
        <f>K27-'CF 2026'!M34</f>
        <v>-8472</v>
      </c>
      <c r="M27" s="185">
        <f>L27-'CF 2026'!N34</f>
        <v>0</v>
      </c>
      <c r="N27" s="185"/>
      <c r="O27" s="185"/>
      <c r="P27" s="185"/>
      <c r="Q27" s="185"/>
      <c r="R27" s="185"/>
      <c r="S27" s="185"/>
      <c r="T27" s="185"/>
      <c r="U27" s="223">
        <f>SUM(F27:Q27)</f>
        <v>-523446</v>
      </c>
      <c r="V27" s="1"/>
    </row>
    <row r="28" spans="1:22" ht="12.6" customHeight="1" x14ac:dyDescent="0.3">
      <c r="C28" s="177"/>
      <c r="F28"/>
      <c r="J28" s="178" t="s">
        <v>195</v>
      </c>
      <c r="U28" s="357"/>
      <c r="V28" s="1"/>
    </row>
    <row r="29" spans="1:22" x14ac:dyDescent="0.3">
      <c r="C29" s="176" t="s">
        <v>190</v>
      </c>
      <c r="F29" s="178"/>
      <c r="G29" s="178"/>
      <c r="H29" s="178"/>
      <c r="Q29" s="178"/>
      <c r="U29" s="357"/>
      <c r="V29" s="1"/>
    </row>
    <row r="30" spans="1:22" x14ac:dyDescent="0.3">
      <c r="C30" s="179" t="s">
        <v>198</v>
      </c>
      <c r="F30" s="178"/>
      <c r="G30" s="178"/>
      <c r="H30" s="178"/>
      <c r="Q30" s="178"/>
      <c r="U30" s="357"/>
      <c r="V30" s="1"/>
    </row>
    <row r="31" spans="1:22" x14ac:dyDescent="0.3">
      <c r="C31" s="176" t="s">
        <v>191</v>
      </c>
      <c r="F31" s="185">
        <f>SUM(F27:F29)</f>
        <v>-141084</v>
      </c>
      <c r="G31" s="185">
        <f t="shared" ref="G31:T31" si="7">SUM(G27:G29)</f>
        <v>-118982</v>
      </c>
      <c r="H31" s="185">
        <f t="shared" si="7"/>
        <v>-96880</v>
      </c>
      <c r="I31" s="185">
        <f t="shared" si="7"/>
        <v>-74778</v>
      </c>
      <c r="J31" s="185">
        <f t="shared" si="7"/>
        <v>-52676</v>
      </c>
      <c r="K31" s="185">
        <f t="shared" si="7"/>
        <v>-30574</v>
      </c>
      <c r="L31" s="185">
        <f t="shared" si="7"/>
        <v>-8472</v>
      </c>
      <c r="M31" s="185">
        <f t="shared" si="7"/>
        <v>0</v>
      </c>
      <c r="N31" s="185">
        <f t="shared" si="7"/>
        <v>0</v>
      </c>
      <c r="O31" s="185">
        <f t="shared" si="7"/>
        <v>0</v>
      </c>
      <c r="P31" s="185">
        <f t="shared" si="7"/>
        <v>0</v>
      </c>
      <c r="Q31" s="185">
        <f t="shared" si="7"/>
        <v>0</v>
      </c>
      <c r="R31" s="185">
        <f t="shared" si="7"/>
        <v>0</v>
      </c>
      <c r="S31" s="185">
        <f t="shared" si="7"/>
        <v>0</v>
      </c>
      <c r="T31" s="185">
        <f t="shared" si="7"/>
        <v>0</v>
      </c>
      <c r="U31" s="357"/>
      <c r="V31" s="1"/>
    </row>
    <row r="32" spans="1:22" x14ac:dyDescent="0.3">
      <c r="C32" s="176" t="s">
        <v>60</v>
      </c>
      <c r="F32" s="185">
        <f>F31+F25</f>
        <v>-261514</v>
      </c>
      <c r="G32" s="185">
        <f t="shared" ref="G32:T32" si="8">G31+G24</f>
        <v>-240897</v>
      </c>
      <c r="H32" s="185">
        <f t="shared" si="8"/>
        <v>-210824</v>
      </c>
      <c r="I32" s="185">
        <f t="shared" si="8"/>
        <v>-258332</v>
      </c>
      <c r="J32" s="185">
        <f t="shared" si="8"/>
        <v>-168302</v>
      </c>
      <c r="K32" s="185">
        <f t="shared" si="8"/>
        <v>-147519</v>
      </c>
      <c r="L32" s="185">
        <f t="shared" si="8"/>
        <v>-128756</v>
      </c>
      <c r="M32" s="185">
        <f t="shared" si="8"/>
        <v>-118637</v>
      </c>
      <c r="N32" s="185">
        <f t="shared" si="8"/>
        <v>-123163</v>
      </c>
      <c r="O32" s="185">
        <f t="shared" si="8"/>
        <v>-123684</v>
      </c>
      <c r="P32" s="185">
        <f t="shared" si="8"/>
        <v>-125479</v>
      </c>
      <c r="Q32" s="185">
        <f t="shared" si="8"/>
        <v>-131957</v>
      </c>
      <c r="R32" s="185">
        <f t="shared" si="8"/>
        <v>-176250</v>
      </c>
      <c r="S32" s="185">
        <f t="shared" si="8"/>
        <v>-180582</v>
      </c>
      <c r="T32" s="185">
        <f t="shared" si="8"/>
        <v>-181885</v>
      </c>
      <c r="U32" s="357"/>
      <c r="V32" s="1"/>
    </row>
    <row r="33" spans="3:22" x14ac:dyDescent="0.3">
      <c r="C33" s="176" t="s">
        <v>61</v>
      </c>
      <c r="F33" s="222">
        <f>F20+F27+F32</f>
        <v>7860077.3871999998</v>
      </c>
      <c r="G33" s="222">
        <f>G20+G27+G32</f>
        <v>8347707.9871999994</v>
      </c>
      <c r="H33" s="222">
        <f t="shared" ref="H33:T33" si="9">H20+H27+H32</f>
        <v>8817330.9871999994</v>
      </c>
      <c r="I33" s="222">
        <f t="shared" si="9"/>
        <v>9492094.3871999998</v>
      </c>
      <c r="J33" s="222">
        <f t="shared" si="9"/>
        <v>10037104.187200001</v>
      </c>
      <c r="K33" s="222">
        <f t="shared" si="9"/>
        <v>10522563.3872</v>
      </c>
      <c r="L33" s="222">
        <f t="shared" si="9"/>
        <v>11023778.987199999</v>
      </c>
      <c r="M33" s="222">
        <f t="shared" si="9"/>
        <v>11511456.987199999</v>
      </c>
      <c r="N33" s="222">
        <f t="shared" si="9"/>
        <v>12002593.987199999</v>
      </c>
      <c r="O33" s="222">
        <f t="shared" si="9"/>
        <v>12499819.987199999</v>
      </c>
      <c r="P33" s="222">
        <f t="shared" si="9"/>
        <v>13002951.987199999</v>
      </c>
      <c r="Q33" s="222">
        <f t="shared" si="9"/>
        <v>13527512.987199999</v>
      </c>
      <c r="R33" s="222">
        <f t="shared" si="9"/>
        <v>14204947.3872</v>
      </c>
      <c r="S33" s="222">
        <f t="shared" si="9"/>
        <v>14939609.7872</v>
      </c>
      <c r="T33" s="222">
        <f t="shared" si="9"/>
        <v>15682513.187200001</v>
      </c>
      <c r="U33" s="379">
        <f>SUM(F33:Q33)</f>
        <v>128644993.24639997</v>
      </c>
      <c r="V33" s="1"/>
    </row>
    <row r="34" spans="3:22" x14ac:dyDescent="0.3">
      <c r="C34" s="179" t="s">
        <v>63</v>
      </c>
      <c r="F34" s="177"/>
      <c r="G34" s="177"/>
      <c r="H34" s="177"/>
      <c r="I34" s="177"/>
      <c r="J34" s="178"/>
      <c r="K34" s="178"/>
      <c r="L34" s="178"/>
      <c r="M34" s="178"/>
      <c r="N34" s="178"/>
      <c r="O34" s="178"/>
      <c r="P34" s="178"/>
      <c r="Q34" s="177"/>
      <c r="R34" s="178"/>
      <c r="S34" s="178"/>
      <c r="T34" s="178"/>
      <c r="V34" s="1"/>
    </row>
    <row r="35" spans="3:22" x14ac:dyDescent="0.3">
      <c r="C35" s="179" t="s">
        <v>65</v>
      </c>
      <c r="F35" s="178">
        <f>SUM(F33:F34)</f>
        <v>7860077.3871999998</v>
      </c>
      <c r="G35" s="178">
        <f t="shared" ref="G35:T35" si="10">SUM(G33:G34)</f>
        <v>8347707.9871999994</v>
      </c>
      <c r="H35" s="178">
        <f t="shared" si="10"/>
        <v>8817330.9871999994</v>
      </c>
      <c r="I35" s="178">
        <f t="shared" si="10"/>
        <v>9492094.3871999998</v>
      </c>
      <c r="J35" s="178">
        <f t="shared" si="10"/>
        <v>10037104.187200001</v>
      </c>
      <c r="K35" s="178">
        <f t="shared" si="10"/>
        <v>10522563.3872</v>
      </c>
      <c r="L35" s="178">
        <f t="shared" si="10"/>
        <v>11023778.987199999</v>
      </c>
      <c r="M35" s="178">
        <f t="shared" si="10"/>
        <v>11511456.987199999</v>
      </c>
      <c r="N35" s="178">
        <f t="shared" si="10"/>
        <v>12002593.987199999</v>
      </c>
      <c r="O35" s="178">
        <f t="shared" si="10"/>
        <v>12499819.987199999</v>
      </c>
      <c r="P35" s="178">
        <f t="shared" si="10"/>
        <v>13002951.987199999</v>
      </c>
      <c r="Q35" s="178">
        <f t="shared" si="10"/>
        <v>13527512.987199999</v>
      </c>
      <c r="R35" s="178">
        <f t="shared" si="10"/>
        <v>14204947.3872</v>
      </c>
      <c r="S35" s="178">
        <f t="shared" si="10"/>
        <v>14939609.7872</v>
      </c>
      <c r="T35" s="178">
        <f t="shared" si="10"/>
        <v>15682513.187200001</v>
      </c>
      <c r="V35" s="1"/>
    </row>
    <row r="36" spans="3:22" x14ac:dyDescent="0.3">
      <c r="C36" s="186" t="s">
        <v>66</v>
      </c>
      <c r="F36" s="178">
        <f>F34+F35</f>
        <v>7860077.3871999998</v>
      </c>
      <c r="G36" s="178">
        <f t="shared" ref="G36:T36" si="11">G34+G35</f>
        <v>8347707.9871999994</v>
      </c>
      <c r="H36" s="178">
        <f t="shared" si="11"/>
        <v>8817330.9871999994</v>
      </c>
      <c r="I36" s="178">
        <f t="shared" si="11"/>
        <v>9492094.3871999998</v>
      </c>
      <c r="J36" s="178">
        <f t="shared" si="11"/>
        <v>10037104.187200001</v>
      </c>
      <c r="K36" s="178">
        <f t="shared" si="11"/>
        <v>10522563.3872</v>
      </c>
      <c r="L36" s="178">
        <f t="shared" si="11"/>
        <v>11023778.987199999</v>
      </c>
      <c r="M36" s="178">
        <f t="shared" si="11"/>
        <v>11511456.987199999</v>
      </c>
      <c r="N36" s="178">
        <f t="shared" si="11"/>
        <v>12002593.987199999</v>
      </c>
      <c r="O36" s="178">
        <f t="shared" si="11"/>
        <v>12499819.987199999</v>
      </c>
      <c r="P36" s="178">
        <f t="shared" si="11"/>
        <v>13002951.987199999</v>
      </c>
      <c r="Q36" s="178">
        <f t="shared" si="11"/>
        <v>13527512.987199999</v>
      </c>
      <c r="R36" s="178">
        <f t="shared" si="11"/>
        <v>14204947.3872</v>
      </c>
      <c r="S36" s="178">
        <f t="shared" si="11"/>
        <v>14939609.7872</v>
      </c>
      <c r="T36" s="178">
        <f t="shared" si="11"/>
        <v>15682513.187200001</v>
      </c>
      <c r="V36" s="1"/>
    </row>
    <row r="37" spans="3:22" x14ac:dyDescent="0.3">
      <c r="C37" s="179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V37" s="1"/>
    </row>
    <row r="38" spans="3:22" x14ac:dyDescent="0.3">
      <c r="C38" s="179" t="s">
        <v>192</v>
      </c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V38" s="1"/>
    </row>
    <row r="39" spans="3:22" x14ac:dyDescent="0.3">
      <c r="C39" s="179" t="s">
        <v>193</v>
      </c>
      <c r="F39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V39" s="1"/>
    </row>
    <row r="40" spans="3:22" x14ac:dyDescent="0.3">
      <c r="C40" s="179" t="s">
        <v>194</v>
      </c>
      <c r="F40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V40" s="1"/>
    </row>
    <row r="41" spans="3:22" x14ac:dyDescent="0.3">
      <c r="C41" s="179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D3E6-C11A-48DF-A19E-6AAEA800A5EA}">
  <sheetPr codeName="Sheet36"/>
  <dimension ref="B2:V101"/>
  <sheetViews>
    <sheetView showGridLines="0" topLeftCell="B52" zoomScale="97" zoomScaleNormal="97" workbookViewId="0">
      <selection activeCell="K101" sqref="K101:V101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664062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1" t="s">
        <v>329</v>
      </c>
      <c r="C2" s="181"/>
      <c r="D2" s="181"/>
      <c r="E2" s="181"/>
      <c r="F2" s="154"/>
      <c r="G2" s="154"/>
      <c r="H2" s="154"/>
      <c r="I2" s="154"/>
      <c r="J2" s="154"/>
      <c r="K2" s="387" t="s">
        <v>254</v>
      </c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4" spans="2:22" x14ac:dyDescent="0.3">
      <c r="B4" s="199" t="s">
        <v>27</v>
      </c>
      <c r="C4" s="199"/>
      <c r="D4" s="199"/>
      <c r="E4" s="200">
        <v>2024</v>
      </c>
      <c r="F4" s="200">
        <v>2025</v>
      </c>
      <c r="G4" s="200">
        <v>2026</v>
      </c>
      <c r="H4" s="200">
        <v>2027</v>
      </c>
      <c r="I4" s="200">
        <v>2028</v>
      </c>
      <c r="J4" s="199"/>
      <c r="K4" s="200" t="s">
        <v>32</v>
      </c>
      <c r="L4" s="200" t="s">
        <v>33</v>
      </c>
      <c r="M4" s="200" t="s">
        <v>34</v>
      </c>
      <c r="N4" s="200" t="s">
        <v>35</v>
      </c>
      <c r="O4" s="200" t="s">
        <v>36</v>
      </c>
      <c r="P4" s="200" t="s">
        <v>37</v>
      </c>
      <c r="Q4" s="200" t="s">
        <v>38</v>
      </c>
      <c r="R4" s="200" t="s">
        <v>39</v>
      </c>
      <c r="S4" s="200" t="s">
        <v>40</v>
      </c>
      <c r="T4" s="200" t="s">
        <v>41</v>
      </c>
      <c r="U4" s="200" t="s">
        <v>42</v>
      </c>
      <c r="V4" s="200" t="s">
        <v>43</v>
      </c>
    </row>
    <row r="5" spans="2:22" x14ac:dyDescent="0.3">
      <c r="B5" t="s">
        <v>44</v>
      </c>
      <c r="E5" s="211">
        <f>'Statements Summary 2024'!V5</f>
        <v>449900</v>
      </c>
      <c r="F5" s="211">
        <f>'Statements Summary 2025'!V5</f>
        <v>586218.73300000001</v>
      </c>
      <c r="G5" s="211">
        <f t="shared" ref="G5:G17" si="0">V5</f>
        <v>661710</v>
      </c>
      <c r="H5" s="211">
        <f>'Statements Summary 2027'!V5</f>
        <v>994995</v>
      </c>
      <c r="I5" s="211">
        <f>'Statements Summary 2028'!V5</f>
        <v>1118310</v>
      </c>
      <c r="K5" s="211">
        <f>'CF 2026'!G11</f>
        <v>604075</v>
      </c>
      <c r="L5" s="211">
        <f>'CF 2026'!H11</f>
        <v>611500</v>
      </c>
      <c r="M5" s="211">
        <f>'CF 2026'!I11</f>
        <v>571645</v>
      </c>
      <c r="N5" s="211">
        <f>'CF 2026'!J11</f>
        <v>919695</v>
      </c>
      <c r="O5" s="211">
        <f>'CF 2026'!K11</f>
        <v>580055</v>
      </c>
      <c r="P5" s="211">
        <f>'CF 2026'!L11</f>
        <v>586650</v>
      </c>
      <c r="Q5" s="211">
        <f>'CF 2026'!M11</f>
        <v>603345</v>
      </c>
      <c r="R5" s="211">
        <f>'CF 2026'!N11</f>
        <v>595110</v>
      </c>
      <c r="S5" s="211">
        <f>'CF 2026'!O11</f>
        <v>617740</v>
      </c>
      <c r="T5" s="211">
        <f>'CF 2026'!P11</f>
        <v>620345</v>
      </c>
      <c r="U5" s="211">
        <f>'CF 2026'!Q11</f>
        <v>629320</v>
      </c>
      <c r="V5" s="211">
        <f>'CF 2026'!R11</f>
        <v>661710</v>
      </c>
    </row>
    <row r="6" spans="2:22" x14ac:dyDescent="0.3">
      <c r="B6" t="s">
        <v>45</v>
      </c>
      <c r="E6" s="211">
        <f>'Statements Summary 2024'!V6</f>
        <v>-625</v>
      </c>
      <c r="F6" s="211">
        <f>'Statements Summary 2025'!V6</f>
        <v>-625</v>
      </c>
      <c r="G6" s="211">
        <f t="shared" si="0"/>
        <v>-625</v>
      </c>
      <c r="H6" s="211">
        <f>'Statements Summary 2027'!V6</f>
        <v>-625</v>
      </c>
      <c r="I6" s="211">
        <f>'Statements Summary 2028'!V6</f>
        <v>-625</v>
      </c>
      <c r="K6" s="211">
        <f>'CF 2026'!G18</f>
        <v>-625</v>
      </c>
      <c r="L6" s="211">
        <f>'CF 2026'!H18</f>
        <v>-625</v>
      </c>
      <c r="M6" s="211">
        <f>'CF 2026'!I18</f>
        <v>-625</v>
      </c>
      <c r="N6" s="211">
        <f>'CF 2026'!J18</f>
        <v>-625</v>
      </c>
      <c r="O6" s="211">
        <f>'CF 2026'!K18</f>
        <v>-625</v>
      </c>
      <c r="P6" s="211">
        <f>'CF 2026'!L18</f>
        <v>-625</v>
      </c>
      <c r="Q6" s="211">
        <f>'CF 2026'!M18</f>
        <v>-625</v>
      </c>
      <c r="R6" s="211">
        <f>'CF 2026'!N18</f>
        <v>-625</v>
      </c>
      <c r="S6" s="211">
        <f>'CF 2026'!O18</f>
        <v>-625</v>
      </c>
      <c r="T6" s="211">
        <f>'CF 2026'!P18</f>
        <v>-625</v>
      </c>
      <c r="U6" s="211">
        <f>'CF 2026'!Q18</f>
        <v>-625</v>
      </c>
      <c r="V6" s="211">
        <f>'CF 2026'!R18</f>
        <v>-625</v>
      </c>
    </row>
    <row r="7" spans="2:22" x14ac:dyDescent="0.3">
      <c r="B7" t="s">
        <v>46</v>
      </c>
      <c r="E7" s="211">
        <f>'Statements Summary 2024'!V7</f>
        <v>-16818</v>
      </c>
      <c r="F7" s="211">
        <f>'Statements Summary 2025'!V7</f>
        <v>-16818</v>
      </c>
      <c r="G7" s="211">
        <f t="shared" si="0"/>
        <v>0</v>
      </c>
      <c r="H7" s="211">
        <f>'Statements Summary 2027'!V7</f>
        <v>0</v>
      </c>
      <c r="I7" s="211">
        <f>'Statements Summary 2028'!V7</f>
        <v>0</v>
      </c>
      <c r="K7" s="211" t="s">
        <v>195</v>
      </c>
      <c r="L7" s="211">
        <f>'CF 2026'!H34</f>
        <v>-22102</v>
      </c>
      <c r="M7" s="211">
        <f>'CF 2026'!I34</f>
        <v>-22102</v>
      </c>
      <c r="N7" s="211">
        <f>'CF 2026'!J34</f>
        <v>-22102</v>
      </c>
      <c r="O7" s="211">
        <f>'CF 2026'!K34</f>
        <v>-22102</v>
      </c>
      <c r="P7" s="211">
        <f>'CF 2026'!L34</f>
        <v>-22102</v>
      </c>
      <c r="Q7" s="211">
        <f>'CF 2026'!M34</f>
        <v>-22102</v>
      </c>
      <c r="R7" s="211">
        <f>'CF 2026'!N34</f>
        <v>-8472</v>
      </c>
      <c r="S7" s="211">
        <f>'CF 2026'!O34</f>
        <v>0</v>
      </c>
      <c r="T7" s="211">
        <f>'CF 2026'!P34</f>
        <v>0</v>
      </c>
      <c r="U7" s="211">
        <f>'CF 2026'!Q34</f>
        <v>0</v>
      </c>
      <c r="V7" s="211">
        <f>'CF 2026'!R34</f>
        <v>0</v>
      </c>
    </row>
    <row r="8" spans="2:22" x14ac:dyDescent="0.3">
      <c r="B8" t="s">
        <v>18</v>
      </c>
      <c r="E8" s="211">
        <f>'Statements Summary 2024'!V8</f>
        <v>290479.59999999998</v>
      </c>
      <c r="F8" s="211">
        <f>'Statements Summary 2025'!V8</f>
        <v>439897.78639999998</v>
      </c>
      <c r="G8" s="211">
        <f t="shared" si="0"/>
        <v>529128</v>
      </c>
      <c r="H8" s="211">
        <f>'Statements Summary 2027'!V8</f>
        <v>807025.6</v>
      </c>
      <c r="I8" s="211">
        <f>'Statements Summary 2028'!V8</f>
        <v>906857.6</v>
      </c>
      <c r="K8" s="211">
        <f>'CF 2026'!G23</f>
        <v>454803.20000000001</v>
      </c>
      <c r="L8" s="211">
        <f>'CF 2026'!H23</f>
        <v>465163.6</v>
      </c>
      <c r="M8" s="211">
        <f>'CF 2026'!I23</f>
        <v>437700</v>
      </c>
      <c r="N8" s="211">
        <f>'CF 2026'!J23</f>
        <v>720560.4</v>
      </c>
      <c r="O8" s="211">
        <f>'CF 2026'!K23</f>
        <v>453268.8</v>
      </c>
      <c r="P8" s="211">
        <f>'CF 2026'!L23</f>
        <v>462965.2</v>
      </c>
      <c r="Q8" s="211">
        <f>'CF 2026'!M23</f>
        <v>480741.6</v>
      </c>
      <c r="R8" s="211">
        <f>'CF 2026'!N23</f>
        <v>475848</v>
      </c>
      <c r="S8" s="211">
        <f>'CF 2026'!O23</f>
        <v>493952</v>
      </c>
      <c r="T8" s="211">
        <f>'CF 2026'!P23</f>
        <v>496036</v>
      </c>
      <c r="U8" s="211">
        <f>'CF 2026'!Q23</f>
        <v>503216</v>
      </c>
      <c r="V8" s="211">
        <f>'CF 2026'!R23</f>
        <v>529128</v>
      </c>
    </row>
    <row r="9" spans="2:22" x14ac:dyDescent="0.3">
      <c r="B9" t="s">
        <v>47</v>
      </c>
      <c r="E9" s="211" t="str">
        <f>'Statements Summary 2024'!V9</f>
        <v>-</v>
      </c>
      <c r="F9" s="211" t="str">
        <f>'Statements Summary 2025'!V9</f>
        <v>-</v>
      </c>
      <c r="G9" s="211">
        <f t="shared" si="0"/>
        <v>0</v>
      </c>
      <c r="H9" s="211">
        <f>'Statements Summary 2027'!V9</f>
        <v>0</v>
      </c>
      <c r="I9" s="211">
        <f>'Statements Summary 2028'!V9</f>
        <v>0</v>
      </c>
      <c r="K9" s="211">
        <f>'CF 2026'!G28</f>
        <v>0</v>
      </c>
      <c r="L9" s="211">
        <f>'CF 2026'!H28</f>
        <v>0</v>
      </c>
      <c r="M9" s="211">
        <f>'CF 2026'!I28</f>
        <v>0</v>
      </c>
      <c r="N9" s="211">
        <f>'CF 2026'!J28</f>
        <v>0</v>
      </c>
      <c r="O9" s="211">
        <f>'CF 2026'!K28</f>
        <v>0</v>
      </c>
      <c r="P9" s="211">
        <f>'CF 2026'!L28</f>
        <v>0</v>
      </c>
      <c r="Q9" s="211">
        <f>'CF 2026'!M28</f>
        <v>0</v>
      </c>
      <c r="R9" s="211">
        <f>'CF 2026'!N28</f>
        <v>0</v>
      </c>
      <c r="S9" s="211">
        <f>'CF 2026'!O28</f>
        <v>0</v>
      </c>
      <c r="T9" s="211">
        <f>'CF 2026'!P28</f>
        <v>0</v>
      </c>
      <c r="U9" s="211">
        <f>'CF 2026'!Q28</f>
        <v>0</v>
      </c>
      <c r="V9" s="211">
        <f>'CF 2026'!R28</f>
        <v>0</v>
      </c>
    </row>
    <row r="10" spans="2:22" x14ac:dyDescent="0.3">
      <c r="B10" t="s">
        <v>48</v>
      </c>
      <c r="E10" s="211" t="str">
        <f>'Statements Summary 2024'!V10</f>
        <v>-</v>
      </c>
      <c r="F10" s="211" t="str">
        <f>'Statements Summary 2025'!V10</f>
        <v>-</v>
      </c>
      <c r="G10" s="211" t="str">
        <f t="shared" si="0"/>
        <v>-</v>
      </c>
      <c r="H10" s="211" t="str">
        <f>'Statements Summary 2027'!V10</f>
        <v>-</v>
      </c>
      <c r="I10" s="211" t="str">
        <f>'Statements Summary 2028'!V10</f>
        <v>-</v>
      </c>
      <c r="K10" s="211" t="s">
        <v>195</v>
      </c>
      <c r="L10" s="211" t="s">
        <v>195</v>
      </c>
      <c r="M10" s="211" t="s">
        <v>195</v>
      </c>
      <c r="N10" s="211" t="s">
        <v>195</v>
      </c>
      <c r="O10" s="211" t="s">
        <v>195</v>
      </c>
      <c r="P10" s="211" t="s">
        <v>195</v>
      </c>
      <c r="Q10" s="211" t="s">
        <v>195</v>
      </c>
      <c r="R10" s="211" t="s">
        <v>195</v>
      </c>
      <c r="S10" s="211" t="s">
        <v>195</v>
      </c>
      <c r="T10" s="211" t="s">
        <v>195</v>
      </c>
      <c r="U10" s="211" t="s">
        <v>195</v>
      </c>
      <c r="V10" s="211" t="s">
        <v>195</v>
      </c>
    </row>
    <row r="11" spans="2:22" x14ac:dyDescent="0.3">
      <c r="B11" t="s">
        <v>49</v>
      </c>
      <c r="E11" s="211" t="str">
        <f>'Statements Summary 2024'!V11</f>
        <v>-</v>
      </c>
      <c r="F11" s="211" t="str">
        <f>'Statements Summary 2025'!V11</f>
        <v>-</v>
      </c>
      <c r="G11" s="211" t="str">
        <f t="shared" si="0"/>
        <v>-</v>
      </c>
      <c r="H11" s="211" t="str">
        <f>'Statements Summary 2027'!V11</f>
        <v>-</v>
      </c>
      <c r="I11" s="211" t="str">
        <f>'Statements Summary 2028'!V11</f>
        <v>-</v>
      </c>
      <c r="K11" s="211">
        <f>'CF 2026'!G28</f>
        <v>0</v>
      </c>
      <c r="L11" s="211" t="s">
        <v>195</v>
      </c>
      <c r="M11" s="211" t="s">
        <v>195</v>
      </c>
      <c r="N11" s="211" t="s">
        <v>195</v>
      </c>
      <c r="O11" s="211" t="s">
        <v>195</v>
      </c>
      <c r="P11" s="211" t="s">
        <v>195</v>
      </c>
      <c r="Q11" s="211" t="s">
        <v>195</v>
      </c>
      <c r="R11" s="211" t="s">
        <v>195</v>
      </c>
      <c r="S11" s="211" t="s">
        <v>195</v>
      </c>
      <c r="T11" s="211" t="s">
        <v>195</v>
      </c>
      <c r="U11" s="211" t="s">
        <v>195</v>
      </c>
      <c r="V11" s="211" t="s">
        <v>195</v>
      </c>
    </row>
    <row r="12" spans="2:22" x14ac:dyDescent="0.3">
      <c r="B12" t="s">
        <v>50</v>
      </c>
      <c r="E12" s="211">
        <f>'Statements Summary 2024'!V12</f>
        <v>-16818</v>
      </c>
      <c r="F12" s="211">
        <f>'Statements Summary 2025'!V12</f>
        <v>-16818</v>
      </c>
      <c r="G12" s="211">
        <f t="shared" si="0"/>
        <v>0</v>
      </c>
      <c r="H12" s="211">
        <f>'Statements Summary 2027'!V12</f>
        <v>0</v>
      </c>
      <c r="I12" s="211">
        <f>'Statements Summary 2028'!V12</f>
        <v>0</v>
      </c>
      <c r="K12" s="211" t="s">
        <v>195</v>
      </c>
      <c r="L12" s="211">
        <f>'CF 2026'!H34</f>
        <v>-22102</v>
      </c>
      <c r="M12" s="211">
        <f>'CF 2026'!I34</f>
        <v>-22102</v>
      </c>
      <c r="N12" s="211">
        <f>'CF 2026'!J34</f>
        <v>-22102</v>
      </c>
      <c r="O12" s="211">
        <f>'CF 2026'!K34</f>
        <v>-22102</v>
      </c>
      <c r="P12" s="211">
        <f>'CF 2026'!L34</f>
        <v>-22102</v>
      </c>
      <c r="Q12" s="211">
        <f>'CF 2026'!M34</f>
        <v>-22102</v>
      </c>
      <c r="R12" s="211">
        <f>'CF 2026'!N34</f>
        <v>-8472</v>
      </c>
      <c r="S12" s="211">
        <f>'CF 2026'!O34</f>
        <v>0</v>
      </c>
      <c r="T12" s="211">
        <f>'CF 2026'!P34</f>
        <v>0</v>
      </c>
      <c r="U12" s="211">
        <f>'CF 2026'!Q34</f>
        <v>0</v>
      </c>
      <c r="V12" s="211">
        <f>'CF 2026'!R34</f>
        <v>0</v>
      </c>
    </row>
    <row r="13" spans="2:22" x14ac:dyDescent="0.3">
      <c r="B13" t="s">
        <v>51</v>
      </c>
      <c r="E13" s="211" t="str">
        <f>'Statements Summary 2024'!V13</f>
        <v>-</v>
      </c>
      <c r="F13" s="211" t="str">
        <f>'Statements Summary 2025'!V13</f>
        <v>-</v>
      </c>
      <c r="G13" s="211" t="str">
        <f t="shared" si="0"/>
        <v>-</v>
      </c>
      <c r="H13" s="211" t="str">
        <f>'Statements Summary 2027'!V13</f>
        <v>-</v>
      </c>
      <c r="I13" s="211" t="str">
        <f>'Statements Summary 2028'!V13</f>
        <v>-</v>
      </c>
      <c r="K13" s="211" t="s">
        <v>195</v>
      </c>
      <c r="L13" s="211" t="s">
        <v>195</v>
      </c>
      <c r="M13" s="211" t="s">
        <v>195</v>
      </c>
      <c r="N13" s="211" t="s">
        <v>195</v>
      </c>
      <c r="O13" s="211" t="s">
        <v>195</v>
      </c>
      <c r="P13" s="211" t="s">
        <v>195</v>
      </c>
      <c r="Q13" s="211" t="s">
        <v>195</v>
      </c>
      <c r="R13" s="211" t="s">
        <v>195</v>
      </c>
      <c r="S13" s="211" t="s">
        <v>195</v>
      </c>
      <c r="T13" s="211" t="s">
        <v>195</v>
      </c>
      <c r="U13" s="211" t="s">
        <v>195</v>
      </c>
      <c r="V13" s="211" t="s">
        <v>195</v>
      </c>
    </row>
    <row r="14" spans="2:22" x14ac:dyDescent="0.3">
      <c r="B14" t="s">
        <v>52</v>
      </c>
      <c r="E14" s="211" t="str">
        <f>'Statements Summary 2024'!V14</f>
        <v>-</v>
      </c>
      <c r="F14" s="211" t="str">
        <f>'Statements Summary 2025'!V14</f>
        <v>-</v>
      </c>
      <c r="G14" s="211" t="str">
        <f t="shared" si="0"/>
        <v>-</v>
      </c>
      <c r="H14" s="211" t="str">
        <f>'Statements Summary 2027'!V14</f>
        <v>-</v>
      </c>
      <c r="I14" s="211" t="str">
        <f>'Statements Summary 2028'!V14</f>
        <v>-</v>
      </c>
      <c r="K14" s="211" t="s">
        <v>195</v>
      </c>
      <c r="L14" s="211" t="s">
        <v>195</v>
      </c>
      <c r="M14" s="211" t="s">
        <v>195</v>
      </c>
      <c r="N14" s="211" t="s">
        <v>195</v>
      </c>
      <c r="O14" s="211" t="s">
        <v>195</v>
      </c>
      <c r="P14" s="211" t="s">
        <v>195</v>
      </c>
      <c r="Q14" s="211" t="s">
        <v>195</v>
      </c>
      <c r="R14" s="211" t="s">
        <v>195</v>
      </c>
      <c r="S14" s="211" t="s">
        <v>195</v>
      </c>
      <c r="T14" s="211" t="s">
        <v>195</v>
      </c>
      <c r="U14" s="211" t="s">
        <v>195</v>
      </c>
      <c r="V14" s="211" t="s">
        <v>195</v>
      </c>
    </row>
    <row r="15" spans="2:22" x14ac:dyDescent="0.3">
      <c r="B15" t="s">
        <v>53</v>
      </c>
      <c r="E15" s="211">
        <f>'Statements Summary 2024'!V15</f>
        <v>-16818</v>
      </c>
      <c r="F15" s="211">
        <f>'Statements Summary 2025'!V15</f>
        <v>-16818</v>
      </c>
      <c r="G15" s="211">
        <f t="shared" si="0"/>
        <v>0</v>
      </c>
      <c r="H15" s="211">
        <f>'Statements Summary 2027'!V15</f>
        <v>0</v>
      </c>
      <c r="I15" s="211">
        <f>'Statements Summary 2028'!V15</f>
        <v>0</v>
      </c>
      <c r="K15" s="211" t="s">
        <v>195</v>
      </c>
      <c r="L15" s="211">
        <f>'CF 2026'!H34</f>
        <v>-22102</v>
      </c>
      <c r="M15" s="211">
        <f>'CF 2026'!I34</f>
        <v>-22102</v>
      </c>
      <c r="N15" s="211">
        <f>'CF 2026'!J34</f>
        <v>-22102</v>
      </c>
      <c r="O15" s="211">
        <f>'CF 2026'!K34</f>
        <v>-22102</v>
      </c>
      <c r="P15" s="211">
        <f>'CF 2026'!L34</f>
        <v>-22102</v>
      </c>
      <c r="Q15" s="211">
        <f>'CF 2026'!M34</f>
        <v>-22102</v>
      </c>
      <c r="R15" s="211">
        <f>'CF 2026'!N34</f>
        <v>-8472</v>
      </c>
      <c r="S15" s="211">
        <f>'CF 2026'!O34</f>
        <v>0</v>
      </c>
      <c r="T15" s="211">
        <f>'CF 2026'!P34</f>
        <v>0</v>
      </c>
      <c r="U15" s="211">
        <f>'CF 2026'!Q34</f>
        <v>0</v>
      </c>
      <c r="V15" s="211">
        <f>'CF 2026'!R34</f>
        <v>0</v>
      </c>
    </row>
    <row r="16" spans="2:22" x14ac:dyDescent="0.3">
      <c r="B16" t="s">
        <v>200</v>
      </c>
      <c r="E16" s="211">
        <f>'Statements Summary 2024'!V16</f>
        <v>290479.59999999998</v>
      </c>
      <c r="F16" s="211">
        <f>'Statements Summary 2025'!V16</f>
        <v>439897.78639999998</v>
      </c>
      <c r="G16" s="211">
        <f t="shared" si="0"/>
        <v>529128</v>
      </c>
      <c r="H16" s="211">
        <f>'Statements Summary 2027'!V16</f>
        <v>807025.6</v>
      </c>
      <c r="I16" s="211">
        <f>'Statements Summary 2028'!V16</f>
        <v>906857.6</v>
      </c>
      <c r="K16" s="211">
        <f>'CF 2026'!G23</f>
        <v>454803.20000000001</v>
      </c>
      <c r="L16" s="211">
        <f>'CF 2026'!H23</f>
        <v>465163.6</v>
      </c>
      <c r="M16" s="211">
        <f>'CF 2026'!I23</f>
        <v>437700</v>
      </c>
      <c r="N16" s="211">
        <f>'CF 2026'!J23</f>
        <v>720560.4</v>
      </c>
      <c r="O16" s="211">
        <f>'CF 2026'!K23</f>
        <v>453268.8</v>
      </c>
      <c r="P16" s="211">
        <f>'CF 2026'!L23</f>
        <v>462965.2</v>
      </c>
      <c r="Q16" s="211">
        <f>'CF 2026'!M23</f>
        <v>480741.6</v>
      </c>
      <c r="R16" s="211">
        <f>'CF 2026'!N23</f>
        <v>475848</v>
      </c>
      <c r="S16" s="211">
        <f>'CF 2026'!O23</f>
        <v>493952</v>
      </c>
      <c r="T16" s="211">
        <f>'CF 2026'!P23</f>
        <v>496036</v>
      </c>
      <c r="U16" s="211">
        <f>'CF 2026'!Q23</f>
        <v>503216</v>
      </c>
      <c r="V16" s="211">
        <f>'CF 2026'!R23</f>
        <v>529128</v>
      </c>
    </row>
    <row r="17" spans="2:22" x14ac:dyDescent="0.3">
      <c r="B17" t="s">
        <v>54</v>
      </c>
      <c r="E17" s="211">
        <f>'Statements Summary 2024'!V17</f>
        <v>564141.19999999995</v>
      </c>
      <c r="F17" s="211">
        <f>'Statements Summary 2025'!V17</f>
        <v>862977.57279999997</v>
      </c>
      <c r="G17" s="211">
        <f t="shared" si="0"/>
        <v>1058256</v>
      </c>
      <c r="H17" s="211">
        <f>'Statements Summary 2027'!V17</f>
        <v>1614051.2000000002</v>
      </c>
      <c r="I17" s="211">
        <f>'Statements Summary 2028'!V17</f>
        <v>1813715.2000000002</v>
      </c>
      <c r="K17" s="211">
        <f>'CF 2026'!G44+'CF 2026'!G21+'CF 2026'!G22</f>
        <v>887504.39999999991</v>
      </c>
      <c r="L17" s="211">
        <f>'CF 2026'!H44+'CF 2026'!H21+'CF 2026'!H22</f>
        <v>908225.20000000007</v>
      </c>
      <c r="M17" s="211">
        <f>'CF 2026'!I44+'CF 2026'!I21+'CF 2026'!I22</f>
        <v>853298</v>
      </c>
      <c r="N17" s="211">
        <f>'CF 2026'!J44+'CF 2026'!J21+'CF 2026'!J22</f>
        <v>1419018.7999999998</v>
      </c>
      <c r="O17" s="211">
        <f>'CF 2026'!K44+'CF 2026'!K21+'CF 2026'!K22</f>
        <v>884435.60000000009</v>
      </c>
      <c r="P17" s="211">
        <f>'CF 2026'!L44+'CF 2026'!L21+'CF 2026'!L22</f>
        <v>903828.39999999991</v>
      </c>
      <c r="Q17" s="211">
        <f>'CF 2026'!M44+'CF 2026'!M21+'CF 2026'!M22</f>
        <v>939381.20000000007</v>
      </c>
      <c r="R17" s="211">
        <f>'CF 2026'!N44+'CF 2026'!N21+'CF 2026'!N22</f>
        <v>943224</v>
      </c>
      <c r="S17" s="211">
        <f>'CF 2026'!O44+'CF 2026'!O21+'CF 2026'!O22</f>
        <v>987904</v>
      </c>
      <c r="T17" s="211">
        <f>'CF 2026'!P44+'CF 2026'!P21+'CF 2026'!P22</f>
        <v>992072</v>
      </c>
      <c r="U17" s="211">
        <f>'CF 2026'!Q44+'CF 2026'!Q21+'CF 2026'!Q22</f>
        <v>1006432</v>
      </c>
      <c r="V17" s="211">
        <f>'CF 2026'!R44+'CF 2026'!R21+'CF 2026'!R22</f>
        <v>1058256</v>
      </c>
    </row>
    <row r="19" spans="2:22" x14ac:dyDescent="0.3">
      <c r="B19" s="181" t="s">
        <v>329</v>
      </c>
      <c r="C19" s="154"/>
      <c r="D19" s="154"/>
      <c r="E19" s="154"/>
      <c r="F19" s="154"/>
      <c r="G19" s="154"/>
      <c r="H19" s="154"/>
      <c r="I19" s="154"/>
      <c r="K19" s="387" t="s">
        <v>254</v>
      </c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</row>
    <row r="42" spans="2:22" x14ac:dyDescent="0.3">
      <c r="B42" s="181" t="s">
        <v>331</v>
      </c>
      <c r="C42" s="181"/>
      <c r="D42" s="181"/>
      <c r="E42" s="181"/>
      <c r="F42" s="154"/>
      <c r="G42" s="154"/>
      <c r="H42" s="154"/>
      <c r="I42" s="154"/>
      <c r="J42" s="154"/>
      <c r="K42" s="387" t="s">
        <v>255</v>
      </c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</row>
    <row r="44" spans="2:22" x14ac:dyDescent="0.3">
      <c r="B44" s="199" t="s">
        <v>27</v>
      </c>
      <c r="C44" s="199"/>
      <c r="D44" s="199"/>
      <c r="E44" s="200">
        <v>2024</v>
      </c>
      <c r="F44" s="200">
        <v>2025</v>
      </c>
      <c r="G44" s="200">
        <v>2026</v>
      </c>
      <c r="H44" s="200">
        <v>2027</v>
      </c>
      <c r="I44" s="200">
        <v>2028</v>
      </c>
      <c r="J44" s="199"/>
      <c r="K44" s="199" t="s">
        <v>32</v>
      </c>
      <c r="L44" s="199" t="s">
        <v>33</v>
      </c>
      <c r="M44" s="199" t="s">
        <v>34</v>
      </c>
      <c r="N44" s="199" t="s">
        <v>35</v>
      </c>
      <c r="O44" s="199" t="s">
        <v>36</v>
      </c>
      <c r="P44" s="199" t="s">
        <v>37</v>
      </c>
      <c r="Q44" s="199" t="s">
        <v>38</v>
      </c>
      <c r="R44" s="199" t="s">
        <v>39</v>
      </c>
      <c r="S44" s="199" t="s">
        <v>40</v>
      </c>
      <c r="T44" s="199" t="s">
        <v>41</v>
      </c>
      <c r="U44" s="199" t="s">
        <v>42</v>
      </c>
      <c r="V44" s="199" t="s">
        <v>43</v>
      </c>
    </row>
    <row r="45" spans="2:22" x14ac:dyDescent="0.3">
      <c r="B45" s="23" t="s">
        <v>2</v>
      </c>
      <c r="C45" s="23"/>
      <c r="D45" s="23"/>
      <c r="E45" s="201">
        <f>'Statements Summary 2024'!V44</f>
        <v>449900</v>
      </c>
      <c r="F45" s="201">
        <f>'Statements Summary 2025'!V45</f>
        <v>586218.73300000001</v>
      </c>
      <c r="G45" s="201">
        <f t="shared" ref="G45:G65" si="1">V45</f>
        <v>661710</v>
      </c>
      <c r="H45" s="201">
        <f>'Statements Summary 2027'!V45</f>
        <v>994995</v>
      </c>
      <c r="I45" s="201">
        <f>'Statements Summary 2028'!V45</f>
        <v>1118310</v>
      </c>
      <c r="K45" s="201">
        <f>'IS 2026'!F17</f>
        <v>604075</v>
      </c>
      <c r="L45" s="201">
        <f>'IS 2026'!G17</f>
        <v>611500</v>
      </c>
      <c r="M45" s="201">
        <f>'IS 2026'!H17</f>
        <v>571645</v>
      </c>
      <c r="N45" s="201">
        <f>'IS 2026'!I17</f>
        <v>919695</v>
      </c>
      <c r="O45" s="201">
        <f>'IS 2026'!J17</f>
        <v>580055</v>
      </c>
      <c r="P45" s="201">
        <f>'IS 2026'!K17</f>
        <v>586650</v>
      </c>
      <c r="Q45" s="201">
        <f>'IS 2026'!L17</f>
        <v>603345</v>
      </c>
      <c r="R45" s="201">
        <f>'IS 2026'!M17</f>
        <v>595110</v>
      </c>
      <c r="S45" s="201">
        <f>'IS 2026'!N17</f>
        <v>617740</v>
      </c>
      <c r="T45" s="201">
        <f>'IS 2026'!O17</f>
        <v>620345</v>
      </c>
      <c r="U45" s="201">
        <f>'IS 2026'!P17</f>
        <v>629320</v>
      </c>
      <c r="V45" s="201">
        <f>'IS 2026'!Q17</f>
        <v>661710</v>
      </c>
    </row>
    <row r="46" spans="2:22" x14ac:dyDescent="0.3">
      <c r="B46" t="s">
        <v>28</v>
      </c>
      <c r="E46" s="1">
        <f>'Statements Summary 2024'!V45</f>
        <v>3.166250445950767E-3</v>
      </c>
      <c r="F46" s="2">
        <f>'Statements Summary 2025'!V46</f>
        <v>5.7256851136311708E-3</v>
      </c>
      <c r="G46" s="2">
        <f t="shared" si="1"/>
        <v>5.1468251446005212E-2</v>
      </c>
      <c r="H46" s="2">
        <f>'Statements Summary 2027'!V46</f>
        <v>7.9777534646243622E-3</v>
      </c>
      <c r="I46" s="2">
        <f>'Statements Summary 2028'!V46</f>
        <v>7.9268869731369106E-3</v>
      </c>
      <c r="K46" s="2"/>
      <c r="L46" s="2">
        <f t="shared" ref="L46" si="2">(L45-K45)/K45</f>
        <v>1.229152009270372E-2</v>
      </c>
      <c r="M46" s="2">
        <f>(M45-L45)/L45</f>
        <v>-6.517579721995094E-2</v>
      </c>
      <c r="N46" s="2">
        <f>(N45-M45)/M45</f>
        <v>0.60885689545084798</v>
      </c>
      <c r="O46" s="2">
        <f t="shared" ref="O46:T46" si="3">(O45-N45)/N45</f>
        <v>-0.3692963428093009</v>
      </c>
      <c r="P46" s="2">
        <f t="shared" si="3"/>
        <v>1.1369611502357536E-2</v>
      </c>
      <c r="Q46" s="2">
        <f t="shared" si="3"/>
        <v>2.8458194835080542E-2</v>
      </c>
      <c r="R46" s="2">
        <f t="shared" si="3"/>
        <v>-1.3648907341570744E-2</v>
      </c>
      <c r="S46" s="2">
        <f t="shared" si="3"/>
        <v>3.8026583320730618E-2</v>
      </c>
      <c r="T46" s="2">
        <f t="shared" si="3"/>
        <v>4.2169844918574159E-3</v>
      </c>
      <c r="U46" s="2">
        <f>(U45-T45)/T45</f>
        <v>1.4467755845537564E-2</v>
      </c>
      <c r="V46" s="2">
        <f t="shared" ref="V46" si="4">(V45-U45)/U45</f>
        <v>5.1468251446005212E-2</v>
      </c>
    </row>
    <row r="47" spans="2:22" x14ac:dyDescent="0.3">
      <c r="B47" t="s">
        <v>3</v>
      </c>
      <c r="E47" s="1">
        <f>'Statements Summary 2024'!V46</f>
        <v>-10390</v>
      </c>
      <c r="F47" s="1">
        <f>'Statements Summary 2025'!V47</f>
        <v>-10390</v>
      </c>
      <c r="G47" s="1">
        <f t="shared" si="1"/>
        <v>8610</v>
      </c>
      <c r="H47" s="1">
        <f>'Statements Summary 2027'!V47</f>
        <v>-32544</v>
      </c>
      <c r="I47" s="1">
        <f>'Statements Summary 2028'!V47</f>
        <v>-38444</v>
      </c>
      <c r="K47" s="1">
        <f>'IS 2026'!F18</f>
        <v>8610</v>
      </c>
      <c r="L47" s="1">
        <f>'IS 2026'!G18</f>
        <v>8610</v>
      </c>
      <c r="M47" s="1">
        <f>'IS 2026'!H18</f>
        <v>8610</v>
      </c>
      <c r="N47" s="1">
        <f>'IS 2026'!I18</f>
        <v>8610</v>
      </c>
      <c r="O47" s="1">
        <f>'IS 2026'!J18</f>
        <v>8610</v>
      </c>
      <c r="P47" s="1">
        <f>'IS 2026'!K18</f>
        <v>8610</v>
      </c>
      <c r="Q47" s="1">
        <f>'IS 2026'!L18</f>
        <v>8610</v>
      </c>
      <c r="R47" s="1">
        <f>'IS 2026'!M18</f>
        <v>8610</v>
      </c>
      <c r="S47" s="1">
        <f>'IS 2026'!N18</f>
        <v>8610</v>
      </c>
      <c r="T47" s="1">
        <f>'IS 2026'!O18</f>
        <v>8610</v>
      </c>
      <c r="U47" s="1">
        <f>'IS 2026'!P18</f>
        <v>8610</v>
      </c>
      <c r="V47" s="1">
        <f>'IS 2026'!Q18</f>
        <v>8610</v>
      </c>
    </row>
    <row r="48" spans="2:22" x14ac:dyDescent="0.3">
      <c r="B48" t="s">
        <v>29</v>
      </c>
      <c r="E48" s="2">
        <f>'Statements Summary 2024'!V47</f>
        <v>-2.3094020893531898E-2</v>
      </c>
      <c r="F48" s="2">
        <f>'Statements Summary 2025'!V48</f>
        <v>-1.772375977619944E-2</v>
      </c>
      <c r="G48" s="2">
        <f t="shared" si="1"/>
        <v>1.3011742304030467E-2</v>
      </c>
      <c r="H48" s="2">
        <f>'Statements Summary 2027'!V48</f>
        <v>-3.2707702048754013E-2</v>
      </c>
      <c r="I48" s="2">
        <f>'Statements Summary 2028'!V48</f>
        <v>-3.4376872244726416E-2</v>
      </c>
      <c r="K48" s="2">
        <f>K47/K45</f>
        <v>1.4253197036791789E-2</v>
      </c>
      <c r="L48" s="2">
        <f t="shared" ref="L48:V48" si="5">L47/L45</f>
        <v>1.4080130825838102E-2</v>
      </c>
      <c r="M48" s="2">
        <f t="shared" si="5"/>
        <v>1.5061795345013076E-2</v>
      </c>
      <c r="N48" s="2">
        <f t="shared" si="5"/>
        <v>9.3617992921566397E-3</v>
      </c>
      <c r="O48" s="2">
        <f t="shared" si="5"/>
        <v>1.4843420020515296E-2</v>
      </c>
      <c r="P48" s="2">
        <f t="shared" si="5"/>
        <v>1.4676553311173613E-2</v>
      </c>
      <c r="Q48" s="2">
        <f t="shared" si="5"/>
        <v>1.4270442284265222E-2</v>
      </c>
      <c r="R48" s="2">
        <f t="shared" si="5"/>
        <v>1.446791349498412E-2</v>
      </c>
      <c r="S48" s="2">
        <f t="shared" si="5"/>
        <v>1.3937902677501862E-2</v>
      </c>
      <c r="T48" s="2">
        <f t="shared" si="5"/>
        <v>1.3879373574381997E-2</v>
      </c>
      <c r="U48" s="2">
        <f t="shared" si="5"/>
        <v>1.3681433928684929E-2</v>
      </c>
      <c r="V48" s="2">
        <f t="shared" si="5"/>
        <v>1.3011742304030467E-2</v>
      </c>
    </row>
    <row r="49" spans="2:22" x14ac:dyDescent="0.3">
      <c r="B49" t="s">
        <v>4</v>
      </c>
      <c r="E49" s="1">
        <f>'Statements Summary 2024'!V48</f>
        <v>439510</v>
      </c>
      <c r="F49" s="1">
        <f>'Statements Summary 2025'!V49</f>
        <v>575828.73300000001</v>
      </c>
      <c r="G49" s="1">
        <f t="shared" si="1"/>
        <v>670320</v>
      </c>
      <c r="H49" s="1">
        <f>'Statements Summary 2027'!V49</f>
        <v>962451</v>
      </c>
      <c r="I49" s="1">
        <f>'Statements Summary 2028'!V49</f>
        <v>1079866</v>
      </c>
      <c r="K49" s="1">
        <f>'IS 2026'!F26</f>
        <v>612685</v>
      </c>
      <c r="L49" s="1">
        <f>'IS 2026'!G26</f>
        <v>620110</v>
      </c>
      <c r="M49" s="1">
        <f>'IS 2026'!H26</f>
        <v>580255</v>
      </c>
      <c r="N49" s="1">
        <f>'IS 2026'!I26</f>
        <v>928305</v>
      </c>
      <c r="O49" s="1">
        <f>'IS 2026'!J26</f>
        <v>588665</v>
      </c>
      <c r="P49" s="1">
        <f>'IS 2026'!K26</f>
        <v>595260</v>
      </c>
      <c r="Q49" s="1">
        <f>'IS 2026'!L26</f>
        <v>611955</v>
      </c>
      <c r="R49" s="1">
        <f>'IS 2026'!M26</f>
        <v>603720</v>
      </c>
      <c r="S49" s="1">
        <f>'IS 2026'!N26</f>
        <v>626350</v>
      </c>
      <c r="T49" s="1">
        <f>'IS 2026'!O26</f>
        <v>628955</v>
      </c>
      <c r="U49" s="1">
        <f>'IS 2026'!P26</f>
        <v>637930</v>
      </c>
      <c r="V49" s="1">
        <f>'IS 2026'!Q26</f>
        <v>670320</v>
      </c>
    </row>
    <row r="50" spans="2:22" x14ac:dyDescent="0.3">
      <c r="B50" t="s">
        <v>30</v>
      </c>
      <c r="E50" s="2">
        <f>'Statements Summary 2024'!V49</f>
        <v>0.97690597910646815</v>
      </c>
      <c r="F50" s="2">
        <f>'Statements Summary 2025'!V50</f>
        <v>0.98227624022380056</v>
      </c>
      <c r="G50" s="2">
        <f t="shared" si="1"/>
        <v>1.0130117423040306</v>
      </c>
      <c r="H50" s="2">
        <f>'Statements Summary 2027'!V50</f>
        <v>0.96729229795124594</v>
      </c>
      <c r="I50" s="2">
        <f>'Statements Summary 2028'!V50</f>
        <v>0.96562312775527359</v>
      </c>
      <c r="K50" s="2">
        <f>K49/K45</f>
        <v>1.0142531970367918</v>
      </c>
      <c r="L50" s="2">
        <f t="shared" ref="L50:V50" si="6">L49/L45</f>
        <v>1.014080130825838</v>
      </c>
      <c r="M50" s="2">
        <f t="shared" si="6"/>
        <v>1.0150617953450132</v>
      </c>
      <c r="N50" s="2">
        <f t="shared" si="6"/>
        <v>1.0093617992921566</v>
      </c>
      <c r="O50" s="2">
        <f t="shared" si="6"/>
        <v>1.0148434200205152</v>
      </c>
      <c r="P50" s="2">
        <f t="shared" si="6"/>
        <v>1.0146765533111737</v>
      </c>
      <c r="Q50" s="2">
        <f t="shared" si="6"/>
        <v>1.0142704422842652</v>
      </c>
      <c r="R50" s="2">
        <f t="shared" si="6"/>
        <v>1.0144679134949841</v>
      </c>
      <c r="S50" s="2">
        <f t="shared" si="6"/>
        <v>1.0139379026775019</v>
      </c>
      <c r="T50" s="2">
        <f t="shared" si="6"/>
        <v>1.0138793735743821</v>
      </c>
      <c r="U50" s="2">
        <f t="shared" si="6"/>
        <v>1.013681433928685</v>
      </c>
      <c r="V50" s="2">
        <f t="shared" si="6"/>
        <v>1.0130117423040306</v>
      </c>
    </row>
    <row r="51" spans="2:22" x14ac:dyDescent="0.3">
      <c r="B51" t="s">
        <v>6</v>
      </c>
      <c r="E51" s="1">
        <f>'Statements Summary 2024'!V50</f>
        <v>-2285</v>
      </c>
      <c r="F51" s="1">
        <f>'Statements Summary 2025'!V51</f>
        <v>-2285</v>
      </c>
      <c r="G51" s="1">
        <f t="shared" si="1"/>
        <v>-2285</v>
      </c>
      <c r="H51" s="1">
        <f>'Statements Summary 2027'!V51</f>
        <v>-17479</v>
      </c>
      <c r="I51" s="1">
        <f>'Statements Summary 2028'!V51</f>
        <v>-17479</v>
      </c>
      <c r="K51" s="1">
        <f>'IS 2026'!F38</f>
        <v>-2285</v>
      </c>
      <c r="L51" s="1">
        <f>'IS 2026'!G38</f>
        <v>-2285</v>
      </c>
      <c r="M51" s="1">
        <f>'IS 2026'!H38</f>
        <v>-2285</v>
      </c>
      <c r="N51" s="1">
        <f>'IS 2026'!I38</f>
        <v>-2285</v>
      </c>
      <c r="O51" s="1">
        <f>'IS 2026'!J38</f>
        <v>-2285</v>
      </c>
      <c r="P51" s="1">
        <f>'IS 2026'!K38</f>
        <v>-2285</v>
      </c>
      <c r="Q51" s="1">
        <f>'IS 2026'!L38</f>
        <v>-2285</v>
      </c>
      <c r="R51" s="1">
        <f>'IS 2026'!M38</f>
        <v>-2285</v>
      </c>
      <c r="S51" s="1">
        <f>'IS 2026'!N38</f>
        <v>-2285</v>
      </c>
      <c r="T51" s="1">
        <f>'IS 2026'!O38</f>
        <v>-2285</v>
      </c>
      <c r="U51" s="1">
        <f>'IS 2026'!P38</f>
        <v>-2285</v>
      </c>
      <c r="V51" s="1">
        <f>'IS 2026'!Q38</f>
        <v>-2285</v>
      </c>
    </row>
    <row r="52" spans="2:22" x14ac:dyDescent="0.3">
      <c r="B52" t="s">
        <v>29</v>
      </c>
      <c r="E52" s="2">
        <f>'Statements Summary 2024'!V51</f>
        <v>-5.0789064236496997E-3</v>
      </c>
      <c r="F52" s="2">
        <f>'Statements Summary 2025'!V52</f>
        <v>-3.8978624724365471E-3</v>
      </c>
      <c r="G52" s="2">
        <f t="shared" si="1"/>
        <v>-3.4531743513019296E-3</v>
      </c>
      <c r="H52" s="2">
        <f>'Statements Summary 2027'!V52</f>
        <v>-1.7566922446846468E-2</v>
      </c>
      <c r="I52" s="2">
        <f>'Statements Summary 2028'!V52</f>
        <v>-1.5629834303547318E-2</v>
      </c>
      <c r="K52" s="2">
        <f>K51/K45</f>
        <v>-3.7826428837478788E-3</v>
      </c>
      <c r="L52" s="2">
        <f t="shared" ref="L52:V52" si="7">L51/L45</f>
        <v>-3.7367130008176615E-3</v>
      </c>
      <c r="M52" s="2">
        <f t="shared" si="7"/>
        <v>-3.9972360468472565E-3</v>
      </c>
      <c r="N52" s="2">
        <f t="shared" si="7"/>
        <v>-2.484519324341222E-3</v>
      </c>
      <c r="O52" s="2">
        <f t="shared" si="7"/>
        <v>-3.939281619846394E-3</v>
      </c>
      <c r="P52" s="2">
        <f t="shared" si="7"/>
        <v>-3.8949970169607092E-3</v>
      </c>
      <c r="Q52" s="2">
        <f t="shared" si="7"/>
        <v>-3.7872195841516876E-3</v>
      </c>
      <c r="R52" s="2">
        <f t="shared" si="7"/>
        <v>-3.8396262875770868E-3</v>
      </c>
      <c r="S52" s="2">
        <f t="shared" si="7"/>
        <v>-3.6989672030304011E-3</v>
      </c>
      <c r="T52" s="2">
        <f t="shared" si="7"/>
        <v>-3.6834342180560816E-3</v>
      </c>
      <c r="U52" s="2">
        <f t="shared" si="7"/>
        <v>-3.6309031971016336E-3</v>
      </c>
      <c r="V52" s="2">
        <f t="shared" si="7"/>
        <v>-3.4531743513019296E-3</v>
      </c>
    </row>
    <row r="53" spans="2:22" x14ac:dyDescent="0.3">
      <c r="B53" t="s">
        <v>196</v>
      </c>
      <c r="E53" s="1">
        <f>'Statements Summary 2024'!V52</f>
        <v>-4063</v>
      </c>
      <c r="F53" s="1">
        <f>'Statements Summary 2025'!V53</f>
        <v>-4063</v>
      </c>
      <c r="G53" s="1">
        <f t="shared" si="1"/>
        <v>-45063</v>
      </c>
      <c r="H53" s="1">
        <f>'Statements Summary 2027'!V53</f>
        <v>-45063</v>
      </c>
      <c r="I53" s="1">
        <f>'Statements Summary 2028'!V53</f>
        <v>-45063</v>
      </c>
      <c r="K53" s="1">
        <f>'IS 2026'!F39</f>
        <v>-45063</v>
      </c>
      <c r="L53" s="1">
        <f>'IS 2026'!G39</f>
        <v>-45063</v>
      </c>
      <c r="M53" s="1">
        <f>'IS 2026'!H39</f>
        <v>-45063</v>
      </c>
      <c r="N53" s="1">
        <f>'IS 2026'!I39</f>
        <v>-45063</v>
      </c>
      <c r="O53" s="1">
        <f>'IS 2026'!J39</f>
        <v>-45063</v>
      </c>
      <c r="P53" s="1">
        <f>'IS 2026'!K39</f>
        <v>-45063</v>
      </c>
      <c r="Q53" s="1">
        <f>'IS 2026'!L39</f>
        <v>-45063</v>
      </c>
      <c r="R53" s="1">
        <f>'IS 2026'!M39</f>
        <v>-45063</v>
      </c>
      <c r="S53" s="1">
        <f>'IS 2026'!N39</f>
        <v>-45063</v>
      </c>
      <c r="T53" s="1">
        <f>'IS 2026'!O39</f>
        <v>-45063</v>
      </c>
      <c r="U53" s="1">
        <f>'IS 2026'!P39</f>
        <v>-45063</v>
      </c>
      <c r="V53" s="1">
        <f>'IS 2026'!Q39</f>
        <v>-45063</v>
      </c>
    </row>
    <row r="54" spans="2:22" x14ac:dyDescent="0.3">
      <c r="B54" t="s">
        <v>29</v>
      </c>
      <c r="E54" s="2">
        <f>'Statements Summary 2024'!V53</f>
        <v>-9.0308957546121355E-3</v>
      </c>
      <c r="F54" s="2">
        <f>'Statements Summary 2025'!V54</f>
        <v>-6.9308600549276541E-3</v>
      </c>
      <c r="G54" s="2">
        <f t="shared" si="1"/>
        <v>-6.8100829668585938E-2</v>
      </c>
      <c r="H54" s="2">
        <f>'Statements Summary 2027'!V54</f>
        <v>-4.5289674822486546E-2</v>
      </c>
      <c r="I54" s="2">
        <f>'Statements Summary 2028'!V54</f>
        <v>-4.0295624647906217E-2</v>
      </c>
      <c r="K54" s="2">
        <f>K53/K45</f>
        <v>-7.4598352853536401E-2</v>
      </c>
      <c r="L54" s="2">
        <f t="shared" ref="L54:V54" si="8">L53/L45</f>
        <v>-7.3692559280457884E-2</v>
      </c>
      <c r="M54" s="2">
        <f t="shared" si="8"/>
        <v>-7.8830392988655545E-2</v>
      </c>
      <c r="N54" s="2">
        <f t="shared" si="8"/>
        <v>-4.8997765563583581E-2</v>
      </c>
      <c r="O54" s="2">
        <f t="shared" si="8"/>
        <v>-7.7687460671832839E-2</v>
      </c>
      <c r="P54" s="2">
        <f t="shared" si="8"/>
        <v>-7.68141140373306E-2</v>
      </c>
      <c r="Q54" s="2">
        <f t="shared" si="8"/>
        <v>-7.4688610993710061E-2</v>
      </c>
      <c r="R54" s="2">
        <f t="shared" si="8"/>
        <v>-7.5722135403538837E-2</v>
      </c>
      <c r="S54" s="2">
        <f t="shared" si="8"/>
        <v>-7.2948165895036748E-2</v>
      </c>
      <c r="T54" s="2">
        <f t="shared" si="8"/>
        <v>-7.2641836397488488E-2</v>
      </c>
      <c r="U54" s="2">
        <f t="shared" si="8"/>
        <v>-7.1605860293650292E-2</v>
      </c>
      <c r="V54" s="2">
        <f t="shared" si="8"/>
        <v>-6.8100829668585938E-2</v>
      </c>
    </row>
    <row r="55" spans="2:22" x14ac:dyDescent="0.3">
      <c r="B55" t="s">
        <v>31</v>
      </c>
      <c r="E55" s="1">
        <f>'Statements Summary 2024'!V54</f>
        <v>-8250</v>
      </c>
      <c r="F55" s="1">
        <f>'Statements Summary 2025'!V55</f>
        <v>-8250</v>
      </c>
      <c r="G55" s="1">
        <f t="shared" si="1"/>
        <v>-8250</v>
      </c>
      <c r="H55" s="1">
        <f>'Statements Summary 2027'!V55</f>
        <v>-8250</v>
      </c>
      <c r="I55" s="1">
        <f>'Statements Summary 2028'!V55</f>
        <v>-8250</v>
      </c>
      <c r="K55" s="1">
        <f>'IS 2026'!F58</f>
        <v>-8250</v>
      </c>
      <c r="L55" s="1">
        <f>'IS 2026'!G58</f>
        <v>-8250</v>
      </c>
      <c r="M55" s="1">
        <f>'IS 2026'!H58</f>
        <v>-8250</v>
      </c>
      <c r="N55" s="1">
        <f>'IS 2026'!I58</f>
        <v>-8250</v>
      </c>
      <c r="O55" s="1">
        <f>'IS 2026'!J58</f>
        <v>-8250</v>
      </c>
      <c r="P55" s="1">
        <f>'IS 2026'!K58</f>
        <v>-8250</v>
      </c>
      <c r="Q55" s="1">
        <f>'IS 2026'!L58</f>
        <v>-8250</v>
      </c>
      <c r="R55" s="1">
        <f>'IS 2026'!M58</f>
        <v>-8250</v>
      </c>
      <c r="S55" s="1">
        <f>'IS 2026'!N58</f>
        <v>-8250</v>
      </c>
      <c r="T55" s="1">
        <f>'IS 2026'!O58</f>
        <v>-8250</v>
      </c>
      <c r="U55" s="1">
        <f>'IS 2026'!P58</f>
        <v>-8250</v>
      </c>
      <c r="V55" s="1">
        <f>'IS 2026'!Q58</f>
        <v>-8250</v>
      </c>
    </row>
    <row r="56" spans="2:22" x14ac:dyDescent="0.3">
      <c r="B56" t="s">
        <v>29</v>
      </c>
      <c r="E56" s="2">
        <f>'Statements Summary 2024'!V55</f>
        <v>-1.8337408312958436E-2</v>
      </c>
      <c r="F56" s="2">
        <f>'Statements Summary 2025'!V56</f>
        <v>-1.4073245250591471E-2</v>
      </c>
      <c r="G56" s="2">
        <f t="shared" si="1"/>
        <v>-1.2467697329645918E-2</v>
      </c>
      <c r="H56" s="2">
        <f>'Statements Summary 2027'!V56</f>
        <v>-8.291498952256041E-3</v>
      </c>
      <c r="I56" s="2">
        <f>'Statements Summary 2028'!V56</f>
        <v>-7.3772031011079221E-3</v>
      </c>
      <c r="K56" s="2">
        <f>K55/K45</f>
        <v>-1.3657244547448578E-2</v>
      </c>
      <c r="L56" s="2">
        <f t="shared" ref="L56:V56" si="9">L55/L45</f>
        <v>-1.3491414554374489E-2</v>
      </c>
      <c r="M56" s="2">
        <f t="shared" si="9"/>
        <v>-1.4432033867172808E-2</v>
      </c>
      <c r="N56" s="2">
        <f t="shared" si="9"/>
        <v>-8.9703651754114138E-3</v>
      </c>
      <c r="O56" s="2">
        <f t="shared" si="9"/>
        <v>-1.4222789218263785E-2</v>
      </c>
      <c r="P56" s="2">
        <f t="shared" si="9"/>
        <v>-1.4062899514190744E-2</v>
      </c>
      <c r="Q56" s="2">
        <f t="shared" si="9"/>
        <v>-1.3673768739278521E-2</v>
      </c>
      <c r="R56" s="2">
        <f t="shared" si="9"/>
        <v>-1.3862983314009175E-2</v>
      </c>
      <c r="S56" s="2">
        <f t="shared" si="9"/>
        <v>-1.335513322757147E-2</v>
      </c>
      <c r="T56" s="2">
        <f t="shared" si="9"/>
        <v>-1.329905133433815E-2</v>
      </c>
      <c r="U56" s="2">
        <f t="shared" si="9"/>
        <v>-1.3109387910760821E-2</v>
      </c>
      <c r="V56" s="2">
        <f t="shared" si="9"/>
        <v>-1.2467697329645918E-2</v>
      </c>
    </row>
    <row r="57" spans="2:22" x14ac:dyDescent="0.3">
      <c r="B57" s="23" t="s">
        <v>10</v>
      </c>
      <c r="C57" s="23"/>
      <c r="D57" s="23"/>
      <c r="E57" s="201">
        <f>'Statements Summary 2024'!V56</f>
        <v>428975</v>
      </c>
      <c r="F57" s="201">
        <f>'Statements Summary 2025'!V57</f>
        <v>565293.73300000001</v>
      </c>
      <c r="G57" s="201">
        <f t="shared" si="1"/>
        <v>659785</v>
      </c>
      <c r="H57" s="201">
        <f>'Statements Summary 2027'!V57</f>
        <v>936722</v>
      </c>
      <c r="I57" s="201">
        <f>'Statements Summary 2028'!V57</f>
        <v>1054137</v>
      </c>
      <c r="K57" s="201">
        <f>'IS 2026'!F59</f>
        <v>602150</v>
      </c>
      <c r="L57" s="201">
        <f>'IS 2026'!G59</f>
        <v>609575</v>
      </c>
      <c r="M57" s="201">
        <f>'IS 2026'!H59</f>
        <v>569720</v>
      </c>
      <c r="N57" s="201">
        <f>'IS 2026'!I59</f>
        <v>917770</v>
      </c>
      <c r="O57" s="201">
        <f>'IS 2026'!J59</f>
        <v>578130</v>
      </c>
      <c r="P57" s="201">
        <f>'IS 2026'!K59</f>
        <v>584725</v>
      </c>
      <c r="Q57" s="201">
        <f>'IS 2026'!L59</f>
        <v>601420</v>
      </c>
      <c r="R57" s="201">
        <f>'IS 2026'!M59</f>
        <v>593185</v>
      </c>
      <c r="S57" s="201">
        <f>'IS 2026'!N59</f>
        <v>615815</v>
      </c>
      <c r="T57" s="201">
        <f>'IS 2026'!O59</f>
        <v>618420</v>
      </c>
      <c r="U57" s="201">
        <f>'IS 2026'!P59</f>
        <v>627395</v>
      </c>
      <c r="V57" s="201">
        <f>'IS 2026'!Q59</f>
        <v>659785</v>
      </c>
    </row>
    <row r="58" spans="2:22" x14ac:dyDescent="0.3">
      <c r="B58" t="s">
        <v>22</v>
      </c>
      <c r="E58" s="2">
        <f>'Statements Summary 2024'!V57</f>
        <v>0.95348966436985994</v>
      </c>
      <c r="F58" s="2">
        <f>'Statements Summary 2025'!V58</f>
        <v>0.96430513250077254</v>
      </c>
      <c r="G58" s="2">
        <f t="shared" si="1"/>
        <v>0.99709087062308266</v>
      </c>
      <c r="H58" s="2">
        <f>'Statements Summary 2027'!V58</f>
        <v>0.9414338765521435</v>
      </c>
      <c r="I58" s="2">
        <f>'Statements Summary 2028'!V58</f>
        <v>0.94261609035061833</v>
      </c>
      <c r="K58" s="2">
        <f>K57/K45</f>
        <v>0.99681330960559533</v>
      </c>
      <c r="L58" s="2">
        <f t="shared" ref="L58:V58" si="10">L57/L45</f>
        <v>0.99685200327064594</v>
      </c>
      <c r="M58" s="2">
        <f t="shared" si="10"/>
        <v>0.99663252543099301</v>
      </c>
      <c r="N58" s="2">
        <f t="shared" si="10"/>
        <v>0.99790691479240401</v>
      </c>
      <c r="O58" s="2">
        <f t="shared" si="10"/>
        <v>0.99668134918240514</v>
      </c>
      <c r="P58" s="2">
        <f t="shared" si="10"/>
        <v>0.99671865678002214</v>
      </c>
      <c r="Q58" s="2">
        <f t="shared" si="10"/>
        <v>0.99680945396083498</v>
      </c>
      <c r="R58" s="2">
        <f t="shared" si="10"/>
        <v>0.9967653038933979</v>
      </c>
      <c r="S58" s="2">
        <f t="shared" si="10"/>
        <v>0.99688380224689999</v>
      </c>
      <c r="T58" s="2">
        <f t="shared" si="10"/>
        <v>0.99689688802198773</v>
      </c>
      <c r="U58" s="2">
        <f t="shared" si="10"/>
        <v>0.99694114282082247</v>
      </c>
      <c r="V58" s="2">
        <f t="shared" si="10"/>
        <v>0.99709087062308266</v>
      </c>
    </row>
    <row r="59" spans="2:22" x14ac:dyDescent="0.3">
      <c r="B59" t="s">
        <v>11</v>
      </c>
      <c r="E59" s="1">
        <f>'Statements Summary 2024'!V58</f>
        <v>-1711</v>
      </c>
      <c r="F59" s="1">
        <f>'Statements Summary 2025'!V59</f>
        <v>-1850</v>
      </c>
      <c r="G59" s="1">
        <f t="shared" si="1"/>
        <v>-1911</v>
      </c>
      <c r="H59" s="1">
        <f>'Statements Summary 2027'!V59</f>
        <v>-1756</v>
      </c>
      <c r="I59" s="1">
        <f>'Statements Summary 2028'!V59</f>
        <v>-1800</v>
      </c>
      <c r="K59">
        <f>'IS 2026'!F60</f>
        <v>-1850</v>
      </c>
      <c r="L59">
        <f>'IS 2026'!G60</f>
        <v>-1850</v>
      </c>
      <c r="M59">
        <f>'IS 2026'!H60</f>
        <v>-1850</v>
      </c>
      <c r="N59">
        <f>'IS 2026'!I60</f>
        <v>-1711</v>
      </c>
      <c r="O59">
        <f>'IS 2026'!J60</f>
        <v>-1711</v>
      </c>
      <c r="P59">
        <f>'IS 2026'!K60</f>
        <v>-1711</v>
      </c>
      <c r="Q59">
        <f>'IS 2026'!L60</f>
        <v>-1711</v>
      </c>
      <c r="R59">
        <f>'IS 2026'!M60</f>
        <v>-1711</v>
      </c>
      <c r="S59">
        <f>'IS 2026'!N60</f>
        <v>-1711</v>
      </c>
      <c r="T59">
        <f>'IS 2026'!O60</f>
        <v>-1711</v>
      </c>
      <c r="U59">
        <f>'IS 2026'!P60</f>
        <v>-1711</v>
      </c>
      <c r="V59">
        <f>'IS 2026'!Q60</f>
        <v>-1911</v>
      </c>
    </row>
    <row r="60" spans="2:22" x14ac:dyDescent="0.3">
      <c r="B60" t="s">
        <v>12</v>
      </c>
      <c r="E60" s="1">
        <f>'Statements Summary 2024'!V59</f>
        <v>427264</v>
      </c>
      <c r="F60" s="1">
        <f>'Statements Summary 2025'!V60</f>
        <v>563443.73300000001</v>
      </c>
      <c r="G60" s="1">
        <f t="shared" si="1"/>
        <v>661696</v>
      </c>
      <c r="H60" s="1">
        <f>'Statements Summary 2027'!V60</f>
        <v>934966</v>
      </c>
      <c r="I60" s="1">
        <f>'Statements Summary 2028'!V60</f>
        <v>1052337</v>
      </c>
      <c r="K60" s="1">
        <f>'IS 2026'!F61</f>
        <v>600300</v>
      </c>
      <c r="L60" s="1">
        <f>'IS 2026'!G61</f>
        <v>607725</v>
      </c>
      <c r="M60" s="1">
        <f>'IS 2026'!H61</f>
        <v>567870</v>
      </c>
      <c r="N60" s="1">
        <f>'IS 2026'!I61</f>
        <v>919481</v>
      </c>
      <c r="O60" s="1">
        <f>'IS 2026'!J61</f>
        <v>579841</v>
      </c>
      <c r="P60" s="1">
        <f>'IS 2026'!K61</f>
        <v>586436</v>
      </c>
      <c r="Q60" s="1">
        <f>'IS 2026'!L61</f>
        <v>603131</v>
      </c>
      <c r="R60" s="1">
        <f>'IS 2026'!M61</f>
        <v>594896</v>
      </c>
      <c r="S60" s="1">
        <f>'IS 2026'!N61</f>
        <v>617526</v>
      </c>
      <c r="T60" s="1">
        <f>'IS 2026'!O61</f>
        <v>620131</v>
      </c>
      <c r="U60" s="1">
        <f>'IS 2026'!P61</f>
        <v>629106</v>
      </c>
      <c r="V60" s="1">
        <f>'IS 2026'!Q61</f>
        <v>661696</v>
      </c>
    </row>
    <row r="61" spans="2:22" x14ac:dyDescent="0.3">
      <c r="B61" t="s">
        <v>13</v>
      </c>
      <c r="E61" s="1">
        <f>'Statements Summary 2024'!V60</f>
        <v>-73000.400000000009</v>
      </c>
      <c r="F61" s="1">
        <f>'Statements Summary 2025'!V61</f>
        <v>-32637.200000000001</v>
      </c>
      <c r="G61" s="1">
        <f t="shared" si="1"/>
        <v>0</v>
      </c>
      <c r="H61" s="1">
        <f>'Statements Summary 2027'!V61</f>
        <v>0</v>
      </c>
      <c r="I61" s="1">
        <f>'Statements Summary 2028'!V61</f>
        <v>0</v>
      </c>
      <c r="K61" s="3">
        <f>'IS 2026'!F62</f>
        <v>-28216.800000000003</v>
      </c>
      <c r="L61" s="3">
        <f>'IS 2026'!G62</f>
        <v>-23796.400000000001</v>
      </c>
      <c r="M61" s="3">
        <f>'IS 2026'!H62</f>
        <v>-19376</v>
      </c>
      <c r="N61" s="3">
        <f>'IS 2026'!I62</f>
        <v>-14955.6</v>
      </c>
      <c r="O61" s="3">
        <f>'IS 2026'!J62</f>
        <v>-10535.2</v>
      </c>
      <c r="P61" s="3">
        <f>'IS 2026'!K62</f>
        <v>-6114.8</v>
      </c>
      <c r="Q61" s="3">
        <f>'IS 2026'!L62</f>
        <v>-1694.4</v>
      </c>
      <c r="R61" s="3">
        <f>'IS 2026'!M62</f>
        <v>0</v>
      </c>
      <c r="S61" s="3">
        <f>'IS 2026'!N62</f>
        <v>0</v>
      </c>
      <c r="T61" s="3">
        <f>'IS 2026'!O62</f>
        <v>0</v>
      </c>
      <c r="U61" s="3">
        <f>'IS 2026'!P62</f>
        <v>0</v>
      </c>
      <c r="V61" s="3">
        <f>'IS 2026'!Q62</f>
        <v>0</v>
      </c>
    </row>
    <row r="62" spans="2:22" x14ac:dyDescent="0.3">
      <c r="B62" t="s">
        <v>14</v>
      </c>
      <c r="E62" s="1">
        <f>'Statements Summary 2024'!V61</f>
        <v>428975</v>
      </c>
      <c r="F62" s="1">
        <f>'Statements Summary 2025'!V62</f>
        <v>565293.73300000001</v>
      </c>
      <c r="G62" s="1">
        <f t="shared" si="1"/>
        <v>659785</v>
      </c>
      <c r="H62" s="1">
        <f>'Statements Summary 2027'!V62</f>
        <v>936722</v>
      </c>
      <c r="I62" s="1">
        <f>'Statements Summary 2028'!V62</f>
        <v>1054137</v>
      </c>
      <c r="K62" s="1">
        <f>'IS 2026'!F63</f>
        <v>602150</v>
      </c>
      <c r="L62" s="1">
        <f>'IS 2026'!G63</f>
        <v>609575</v>
      </c>
      <c r="M62" s="1">
        <f>'IS 2026'!H63</f>
        <v>569720</v>
      </c>
      <c r="N62" s="1">
        <f>'IS 2026'!I63</f>
        <v>917770</v>
      </c>
      <c r="O62" s="1">
        <f>'IS 2026'!J63</f>
        <v>578130</v>
      </c>
      <c r="P62" s="1">
        <f>'IS 2026'!K63</f>
        <v>584725</v>
      </c>
      <c r="Q62" s="1">
        <f>'IS 2026'!L63</f>
        <v>601420</v>
      </c>
      <c r="R62" s="1">
        <f>'IS 2026'!M63</f>
        <v>593185</v>
      </c>
      <c r="S62" s="1">
        <f>'IS 2026'!N63</f>
        <v>615815</v>
      </c>
      <c r="T62" s="1">
        <f>'IS 2026'!O63</f>
        <v>618420</v>
      </c>
      <c r="U62" s="1">
        <f>'IS 2026'!P63</f>
        <v>627395</v>
      </c>
      <c r="V62" s="1">
        <f>'IS 2026'!Q63</f>
        <v>659785</v>
      </c>
    </row>
    <row r="63" spans="2:22" x14ac:dyDescent="0.3">
      <c r="B63" t="s">
        <v>15</v>
      </c>
      <c r="E63" s="1">
        <f>'Statements Summary 2024'!V62</f>
        <v>-85795</v>
      </c>
      <c r="F63" s="1">
        <f>'Statements Summary 2025'!V63</f>
        <v>-113058.74660000001</v>
      </c>
      <c r="G63" s="1">
        <f t="shared" si="1"/>
        <v>-131957</v>
      </c>
      <c r="H63" s="1">
        <f>'Statements Summary 2027'!V63</f>
        <v>-187344.40000000002</v>
      </c>
      <c r="I63" s="1">
        <f>'Statements Summary 2028'!V63</f>
        <v>-187344.40000000002</v>
      </c>
      <c r="K63" s="1">
        <f>'IS 2026'!F64</f>
        <v>-120430</v>
      </c>
      <c r="L63" s="1">
        <f>'IS 2026'!G64</f>
        <v>-121915</v>
      </c>
      <c r="M63" s="1">
        <f>'IS 2026'!H64</f>
        <v>-113944</v>
      </c>
      <c r="N63" s="1">
        <f>'IS 2026'!I64</f>
        <v>-183554</v>
      </c>
      <c r="O63" s="1">
        <f>'IS 2026'!J64</f>
        <v>-115626</v>
      </c>
      <c r="P63" s="1">
        <f>'IS 2026'!K64</f>
        <v>-116945</v>
      </c>
      <c r="Q63" s="1">
        <f>'IS 2026'!L64</f>
        <v>-120284</v>
      </c>
      <c r="R63" s="1">
        <f>'IS 2026'!M64</f>
        <v>-118637</v>
      </c>
      <c r="S63" s="1">
        <f>'IS 2026'!N64</f>
        <v>-123163</v>
      </c>
      <c r="T63" s="1">
        <f>'IS 2026'!O64</f>
        <v>-123684</v>
      </c>
      <c r="U63" s="1">
        <f>'IS 2026'!P64</f>
        <v>-125479</v>
      </c>
      <c r="V63" s="1">
        <f>'IS 2026'!Q64</f>
        <v>-131957</v>
      </c>
    </row>
    <row r="64" spans="2:22" x14ac:dyDescent="0.3">
      <c r="B64" s="23" t="s">
        <v>16</v>
      </c>
      <c r="C64" s="23"/>
      <c r="D64" s="23"/>
      <c r="E64" s="201">
        <f>'Statements Summary 2024'!V63</f>
        <v>343180</v>
      </c>
      <c r="F64" s="201">
        <f>'Statements Summary 2025'!V64</f>
        <v>452234.98639999999</v>
      </c>
      <c r="G64" s="201">
        <f t="shared" si="1"/>
        <v>527828</v>
      </c>
      <c r="H64" s="201">
        <f>'Statements Summary 2027'!V64</f>
        <v>749377.6</v>
      </c>
      <c r="I64" s="201">
        <f>'Statements Summary 2028'!V64</f>
        <v>843309.6</v>
      </c>
      <c r="K64" s="201">
        <f>'IS 2026'!F65</f>
        <v>481720</v>
      </c>
      <c r="L64" s="201">
        <f>'IS 2026'!G65</f>
        <v>487660</v>
      </c>
      <c r="M64" s="201">
        <f>'IS 2026'!H65</f>
        <v>455776</v>
      </c>
      <c r="N64" s="201">
        <f>'IS 2026'!I65</f>
        <v>734216</v>
      </c>
      <c r="O64" s="201">
        <f>'IS 2026'!J65</f>
        <v>462504</v>
      </c>
      <c r="P64" s="201">
        <f>'IS 2026'!K65</f>
        <v>467780</v>
      </c>
      <c r="Q64" s="201">
        <f>'IS 2026'!L65</f>
        <v>481136</v>
      </c>
      <c r="R64" s="201">
        <f>'IS 2026'!M65</f>
        <v>474548</v>
      </c>
      <c r="S64" s="201">
        <f>'IS 2026'!N65</f>
        <v>492652</v>
      </c>
      <c r="T64" s="201">
        <f>'IS 2026'!O65</f>
        <v>494736</v>
      </c>
      <c r="U64" s="201">
        <f>'IS 2026'!P65</f>
        <v>501916</v>
      </c>
      <c r="V64" s="201">
        <f>'IS 2026'!Q65</f>
        <v>527828</v>
      </c>
    </row>
    <row r="65" spans="2:22" x14ac:dyDescent="0.3">
      <c r="B65" t="s">
        <v>17</v>
      </c>
      <c r="E65" s="2">
        <f>'Statements Summary 2024'!V64</f>
        <v>0.76279173149588797</v>
      </c>
      <c r="F65" s="2">
        <f>'Statements Summary 2025'!V65</f>
        <v>0.77144410600061797</v>
      </c>
      <c r="G65" s="2">
        <f t="shared" si="1"/>
        <v>0.79767269649846606</v>
      </c>
      <c r="H65" s="2">
        <f>'Statements Summary 2027'!V65</f>
        <v>0.7531471012417148</v>
      </c>
      <c r="I65" s="2">
        <f>'Statements Summary 2028'!V65</f>
        <v>0.75409287228049471</v>
      </c>
      <c r="K65" s="2">
        <f>K64/K45</f>
        <v>0.79745064768447627</v>
      </c>
      <c r="L65" s="2">
        <f t="shared" ref="L65:V65" si="11">L64/L45</f>
        <v>0.79748160261651679</v>
      </c>
      <c r="M65" s="2">
        <f t="shared" si="11"/>
        <v>0.79730602034479436</v>
      </c>
      <c r="N65" s="2">
        <f t="shared" si="11"/>
        <v>0.79832553183392319</v>
      </c>
      <c r="O65" s="2">
        <f t="shared" si="11"/>
        <v>0.79734507934592413</v>
      </c>
      <c r="P65" s="2">
        <f t="shared" si="11"/>
        <v>0.79737492542401778</v>
      </c>
      <c r="Q65" s="2">
        <f t="shared" si="11"/>
        <v>0.79744756316866805</v>
      </c>
      <c r="R65" s="2">
        <f t="shared" si="11"/>
        <v>0.79741224311471826</v>
      </c>
      <c r="S65" s="2">
        <f t="shared" si="11"/>
        <v>0.79750704179751997</v>
      </c>
      <c r="T65" s="2">
        <f t="shared" si="11"/>
        <v>0.79751751041759023</v>
      </c>
      <c r="U65" s="2">
        <f t="shared" si="11"/>
        <v>0.79755291425665797</v>
      </c>
      <c r="V65" s="2">
        <f t="shared" si="11"/>
        <v>0.79767269649846606</v>
      </c>
    </row>
    <row r="67" spans="2:22" x14ac:dyDescent="0.3">
      <c r="B67" s="181" t="s">
        <v>331</v>
      </c>
      <c r="C67" s="154"/>
      <c r="D67" s="154"/>
      <c r="E67" s="154"/>
      <c r="F67" s="154"/>
      <c r="G67" s="154"/>
      <c r="H67" s="154"/>
      <c r="I67" s="154"/>
      <c r="K67" s="387" t="s">
        <v>255</v>
      </c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</row>
    <row r="85" spans="2:22" x14ac:dyDescent="0.3">
      <c r="B85" s="181" t="s">
        <v>333</v>
      </c>
      <c r="C85" s="181"/>
      <c r="D85" s="181"/>
      <c r="E85" s="181"/>
      <c r="F85" s="154"/>
      <c r="G85" s="154"/>
      <c r="H85" s="154"/>
      <c r="I85" s="154"/>
      <c r="J85" s="154"/>
      <c r="K85" s="387" t="s">
        <v>256</v>
      </c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</row>
    <row r="87" spans="2:22" x14ac:dyDescent="0.3">
      <c r="B87" s="199" t="s">
        <v>27</v>
      </c>
      <c r="C87" s="199"/>
      <c r="D87" s="199"/>
      <c r="E87" s="200">
        <v>2024</v>
      </c>
      <c r="F87" s="200">
        <v>2025</v>
      </c>
      <c r="G87" s="200">
        <v>2026</v>
      </c>
      <c r="H87" s="200">
        <v>2027</v>
      </c>
      <c r="I87" s="200">
        <v>2028</v>
      </c>
      <c r="J87" s="199"/>
      <c r="K87" s="200" t="s">
        <v>32</v>
      </c>
      <c r="L87" s="200" t="s">
        <v>33</v>
      </c>
      <c r="M87" s="200" t="s">
        <v>34</v>
      </c>
      <c r="N87" s="200" t="s">
        <v>35</v>
      </c>
      <c r="O87" s="200" t="s">
        <v>36</v>
      </c>
      <c r="P87" s="200" t="s">
        <v>37</v>
      </c>
      <c r="Q87" s="200" t="s">
        <v>38</v>
      </c>
      <c r="R87" s="200" t="s">
        <v>39</v>
      </c>
      <c r="S87" s="200" t="s">
        <v>40</v>
      </c>
      <c r="T87" s="200" t="s">
        <v>41</v>
      </c>
      <c r="U87" s="200" t="s">
        <v>42</v>
      </c>
      <c r="V87" s="200" t="s">
        <v>43</v>
      </c>
    </row>
    <row r="88" spans="2:22" x14ac:dyDescent="0.3">
      <c r="B88" t="s">
        <v>55</v>
      </c>
      <c r="E88" s="211">
        <f>'Statements Summary 2024'!V86</f>
        <v>2624392.4</v>
      </c>
      <c r="F88" s="211">
        <f>'Statements Summary 2025'!V88</f>
        <v>7339792.1871999996</v>
      </c>
      <c r="G88" s="211">
        <f t="shared" ref="G88:G99" si="12">V88</f>
        <v>13149988.987199999</v>
      </c>
      <c r="H88" s="211">
        <f>'Statements Summary 2027'!V88</f>
        <v>22338154.987199992</v>
      </c>
      <c r="I88" s="211">
        <f>'Statements Summary 2028'!V88</f>
        <v>32696764.987199977</v>
      </c>
      <c r="K88" s="211">
        <f>'BS 2026'!F14</f>
        <v>7772493.3871999998</v>
      </c>
      <c r="L88" s="211">
        <f>'BS 2026'!G14</f>
        <v>8215554.9871999994</v>
      </c>
      <c r="M88" s="211">
        <f>'BS 2026'!H14</f>
        <v>8631152.9871999994</v>
      </c>
      <c r="N88" s="211">
        <f>'BS 2026'!I14</f>
        <v>9329611.3871999998</v>
      </c>
      <c r="O88" s="211">
        <f>'BS 2026'!J14</f>
        <v>9760778.1872000005</v>
      </c>
      <c r="P88" s="211">
        <f>'BS 2026'!K14</f>
        <v>10201641.3872</v>
      </c>
      <c r="Q88" s="211">
        <f>'BS 2026'!L14</f>
        <v>10660280.987199999</v>
      </c>
      <c r="R88" s="211">
        <f>'BS 2026'!M14</f>
        <v>11127656.987199999</v>
      </c>
      <c r="S88" s="211">
        <f>'BS 2026'!N14</f>
        <v>11621608.987199999</v>
      </c>
      <c r="T88" s="211">
        <f>'BS 2026'!O14</f>
        <v>12117644.987199999</v>
      </c>
      <c r="U88" s="211">
        <f>'BS 2026'!P14</f>
        <v>12620860.987199999</v>
      </c>
      <c r="V88" s="211">
        <f>'BS 2026'!Q14</f>
        <v>13149988.987199999</v>
      </c>
    </row>
    <row r="89" spans="2:22" x14ac:dyDescent="0.3">
      <c r="B89" t="s">
        <v>56</v>
      </c>
      <c r="E89" s="211">
        <f>'Statements Summary 2024'!V87</f>
        <v>470532</v>
      </c>
      <c r="F89" s="211">
        <f>'Statements Summary 2025'!V89</f>
        <v>488332</v>
      </c>
      <c r="G89" s="211">
        <f t="shared" si="12"/>
        <v>509481</v>
      </c>
      <c r="H89" s="211">
        <f>'Statements Summary 2027'!V89</f>
        <v>531018</v>
      </c>
      <c r="I89" s="211">
        <f>'Statements Summary 2028'!V89</f>
        <v>552400</v>
      </c>
      <c r="K89" s="211">
        <f>'BS 2026'!F19</f>
        <v>490182</v>
      </c>
      <c r="L89" s="211">
        <f>'BS 2026'!G19</f>
        <v>492032</v>
      </c>
      <c r="M89" s="211">
        <f>'BS 2026'!H19</f>
        <v>493882</v>
      </c>
      <c r="N89" s="211">
        <f>'BS 2026'!I19</f>
        <v>495593</v>
      </c>
      <c r="O89" s="211">
        <f>'BS 2026'!J19</f>
        <v>497304</v>
      </c>
      <c r="P89" s="211">
        <f>'BS 2026'!K19</f>
        <v>499015</v>
      </c>
      <c r="Q89" s="211">
        <f>'BS 2026'!L19</f>
        <v>500726</v>
      </c>
      <c r="R89" s="211">
        <f>'BS 2026'!M19</f>
        <v>502437</v>
      </c>
      <c r="S89" s="211">
        <f>'BS 2026'!N19</f>
        <v>504148</v>
      </c>
      <c r="T89" s="211">
        <f>'BS 2026'!O19</f>
        <v>505859</v>
      </c>
      <c r="U89" s="211">
        <f>'BS 2026'!P19</f>
        <v>507570</v>
      </c>
      <c r="V89" s="211">
        <f>'BS 2026'!Q19</f>
        <v>509481</v>
      </c>
    </row>
    <row r="90" spans="2:22" x14ac:dyDescent="0.3">
      <c r="B90" t="s">
        <v>57</v>
      </c>
      <c r="E90" s="211">
        <f>'Statements Summary 2024'!V88</f>
        <v>3094924.4</v>
      </c>
      <c r="F90" s="211">
        <f>'Statements Summary 2025'!V90</f>
        <v>7828124.1871999996</v>
      </c>
      <c r="G90" s="211">
        <f t="shared" si="12"/>
        <v>13659469.987199999</v>
      </c>
      <c r="H90" s="211">
        <f>'Statements Summary 2027'!V90</f>
        <v>22869172.987199992</v>
      </c>
      <c r="I90" s="211">
        <f>'Statements Summary 2028'!V90</f>
        <v>33249164.987199977</v>
      </c>
      <c r="K90" s="211">
        <f>'BS 2026'!F20</f>
        <v>8262675.3871999998</v>
      </c>
      <c r="L90" s="211">
        <f>'BS 2026'!G20</f>
        <v>8707586.9871999994</v>
      </c>
      <c r="M90" s="211">
        <f>'BS 2026'!H20</f>
        <v>9125034.9871999994</v>
      </c>
      <c r="N90" s="211">
        <f>'BS 2026'!I20</f>
        <v>9825204.3871999998</v>
      </c>
      <c r="O90" s="211">
        <f>'BS 2026'!J20</f>
        <v>10258082.187200001</v>
      </c>
      <c r="P90" s="211">
        <f>'BS 2026'!K20</f>
        <v>10700656.3872</v>
      </c>
      <c r="Q90" s="211">
        <f>'BS 2026'!L20</f>
        <v>11161006.987199999</v>
      </c>
      <c r="R90" s="211">
        <f>'BS 2026'!M20</f>
        <v>11630093.987199999</v>
      </c>
      <c r="S90" s="211">
        <f>'BS 2026'!N20</f>
        <v>12125756.987199999</v>
      </c>
      <c r="T90" s="211">
        <f>'BS 2026'!O20</f>
        <v>12623503.987199999</v>
      </c>
      <c r="U90" s="211">
        <f>'BS 2026'!P20</f>
        <v>13128430.987199999</v>
      </c>
      <c r="V90" s="211">
        <f>'BS 2026'!Q20</f>
        <v>13659469.987199999</v>
      </c>
    </row>
    <row r="91" spans="2:22" x14ac:dyDescent="0.3">
      <c r="B91" t="s">
        <v>58</v>
      </c>
      <c r="E91" s="211">
        <f>'Statements Summary 2024'!V89</f>
        <v>-85795</v>
      </c>
      <c r="F91" s="211">
        <f>'Statements Summary 2025'!V91</f>
        <v>-113058.74660000001</v>
      </c>
      <c r="G91" s="211">
        <f t="shared" si="12"/>
        <v>-131957</v>
      </c>
      <c r="H91" s="211">
        <f>'Statements Summary 2027'!V91</f>
        <v>-187344.40000000002</v>
      </c>
      <c r="I91" s="211">
        <f>'Statements Summary 2028'!V91</f>
        <v>-210827.40000000002</v>
      </c>
      <c r="K91" s="211">
        <f>'BS 2026'!F25</f>
        <v>-120430</v>
      </c>
      <c r="L91" s="211">
        <f>'BS 2026'!G25</f>
        <v>-121915</v>
      </c>
      <c r="M91" s="211">
        <f>'BS 2026'!H25</f>
        <v>-113944</v>
      </c>
      <c r="N91" s="211">
        <f>'BS 2026'!I25</f>
        <v>-183554</v>
      </c>
      <c r="O91" s="211">
        <f>'BS 2026'!J25</f>
        <v>-115626</v>
      </c>
      <c r="P91" s="211">
        <f>'BS 2026'!K25</f>
        <v>-116945</v>
      </c>
      <c r="Q91" s="211">
        <f>'BS 2026'!L25</f>
        <v>-120284</v>
      </c>
      <c r="R91" s="211">
        <f>'BS 2026'!M25</f>
        <v>-118637</v>
      </c>
      <c r="S91" s="211">
        <f>'BS 2026'!N25</f>
        <v>-123163</v>
      </c>
      <c r="T91" s="211">
        <f>'BS 2026'!O25</f>
        <v>-123684</v>
      </c>
      <c r="U91" s="211">
        <f>'BS 2026'!P25</f>
        <v>-125479</v>
      </c>
      <c r="V91" s="211">
        <f>'BS 2026'!Q25</f>
        <v>-131957</v>
      </c>
    </row>
    <row r="92" spans="2:22" x14ac:dyDescent="0.3">
      <c r="B92" t="s">
        <v>201</v>
      </c>
      <c r="E92" s="211">
        <f>'Statements Summary 2024'!V90</f>
        <v>-365002</v>
      </c>
      <c r="F92" s="211">
        <f>'Statements Summary 2025'!V92</f>
        <v>-163186</v>
      </c>
      <c r="G92" s="211">
        <f t="shared" si="12"/>
        <v>0</v>
      </c>
      <c r="H92" s="211">
        <f>'Statements Summary 2027'!V92</f>
        <v>0</v>
      </c>
      <c r="I92" s="211">
        <f>'Statements Summary 2028'!V92</f>
        <v>0</v>
      </c>
      <c r="K92" s="211">
        <f>'BS 2026'!F27</f>
        <v>-141084</v>
      </c>
      <c r="L92" s="211">
        <f>'BS 2026'!G27</f>
        <v>-118982</v>
      </c>
      <c r="M92" s="211">
        <f>'BS 2026'!H27</f>
        <v>-96880</v>
      </c>
      <c r="N92" s="211">
        <f>'BS 2026'!I27</f>
        <v>-74778</v>
      </c>
      <c r="O92" s="211">
        <f>'BS 2026'!J27</f>
        <v>-52676</v>
      </c>
      <c r="P92" s="211">
        <f>'BS 2026'!K27</f>
        <v>-30574</v>
      </c>
      <c r="Q92" s="211">
        <f>'BS 2026'!L27</f>
        <v>-8472</v>
      </c>
      <c r="R92" s="211">
        <f>'BS 2026'!M27</f>
        <v>0</v>
      </c>
      <c r="S92" s="211">
        <f>'BS 2026'!N27</f>
        <v>0</v>
      </c>
      <c r="T92" s="211">
        <f>'BS 2026'!O27</f>
        <v>0</v>
      </c>
      <c r="U92" s="211">
        <f>'BS 2026'!P27</f>
        <v>0</v>
      </c>
      <c r="V92" s="211">
        <f>'BS 2026'!Q27</f>
        <v>0</v>
      </c>
    </row>
    <row r="93" spans="2:22" x14ac:dyDescent="0.3">
      <c r="B93" t="s">
        <v>60</v>
      </c>
      <c r="E93" s="211">
        <f>'Statements Summary 2024'!V91</f>
        <v>-450797</v>
      </c>
      <c r="F93" s="211">
        <f>'Statements Summary 2025'!V93</f>
        <v>-276244.74660000001</v>
      </c>
      <c r="G93" s="211">
        <f t="shared" si="12"/>
        <v>-131957</v>
      </c>
      <c r="H93" s="211">
        <f>'Statements Summary 2027'!V93</f>
        <v>-187344.40000000002</v>
      </c>
      <c r="I93" s="211">
        <f>'Statements Summary 2028'!V93</f>
        <v>-210827.40000000002</v>
      </c>
      <c r="K93" s="211">
        <f>'BS 2026'!F32</f>
        <v>-261514</v>
      </c>
      <c r="L93" s="211">
        <f>'BS 2026'!G32</f>
        <v>-240897</v>
      </c>
      <c r="M93" s="211">
        <f>'BS 2026'!H32</f>
        <v>-210824</v>
      </c>
      <c r="N93" s="211">
        <f>'BS 2026'!I32</f>
        <v>-258332</v>
      </c>
      <c r="O93" s="211">
        <f>'BS 2026'!J32</f>
        <v>-168302</v>
      </c>
      <c r="P93" s="211">
        <f>'BS 2026'!K32</f>
        <v>-147519</v>
      </c>
      <c r="Q93" s="211">
        <f>'BS 2026'!L32</f>
        <v>-128756</v>
      </c>
      <c r="R93" s="211">
        <f>'BS 2026'!M32</f>
        <v>-118637</v>
      </c>
      <c r="S93" s="211">
        <f>'BS 2026'!N32</f>
        <v>-123163</v>
      </c>
      <c r="T93" s="211">
        <f>'BS 2026'!O32</f>
        <v>-123684</v>
      </c>
      <c r="U93" s="211">
        <f>'BS 2026'!P32</f>
        <v>-125479</v>
      </c>
      <c r="V93" s="211">
        <f>'BS 2026'!Q32</f>
        <v>-131957</v>
      </c>
    </row>
    <row r="94" spans="2:22" x14ac:dyDescent="0.3">
      <c r="B94" t="s">
        <v>61</v>
      </c>
      <c r="E94" s="211">
        <f>'Statements Summary 2024'!V92</f>
        <v>2644127.4</v>
      </c>
      <c r="F94" s="211">
        <f>'Statements Summary 2025'!V94</f>
        <v>7551879.4405999994</v>
      </c>
      <c r="G94" s="211">
        <f t="shared" si="12"/>
        <v>13527512.987199999</v>
      </c>
      <c r="H94" s="211">
        <f>'Statements Summary 2027'!V94</f>
        <v>22681828.587199993</v>
      </c>
      <c r="I94" s="211">
        <f>'Statements Summary 2028'!V94</f>
        <v>33038337.587199979</v>
      </c>
      <c r="K94" s="211">
        <f>'BS 2026'!F33</f>
        <v>7860077.3871999998</v>
      </c>
      <c r="L94" s="211">
        <f>'BS 2026'!G33</f>
        <v>8347707.9871999994</v>
      </c>
      <c r="M94" s="211">
        <f>'BS 2026'!H33</f>
        <v>8817330.9871999994</v>
      </c>
      <c r="N94" s="211">
        <f>'BS 2026'!I33</f>
        <v>9492094.3871999998</v>
      </c>
      <c r="O94" s="211">
        <f>'BS 2026'!J33</f>
        <v>10037104.187200001</v>
      </c>
      <c r="P94" s="211">
        <f>'BS 2026'!K33</f>
        <v>10522563.3872</v>
      </c>
      <c r="Q94" s="211">
        <f>'BS 2026'!L33</f>
        <v>11023778.987199999</v>
      </c>
      <c r="R94" s="211">
        <f>'BS 2026'!M33</f>
        <v>11511456.987199999</v>
      </c>
      <c r="S94" s="211">
        <f>'BS 2026'!N33</f>
        <v>12002593.987199999</v>
      </c>
      <c r="T94" s="211">
        <f>'BS 2026'!O33</f>
        <v>12499819.987199999</v>
      </c>
      <c r="U94" s="211">
        <f>'BS 2026'!P33</f>
        <v>13002951.987199999</v>
      </c>
      <c r="V94" s="211">
        <f>'BS 2026'!Q33</f>
        <v>13527512.987199999</v>
      </c>
    </row>
    <row r="95" spans="2:22" x14ac:dyDescent="0.3">
      <c r="B95" t="s">
        <v>62</v>
      </c>
      <c r="E95" s="211">
        <f>'Statements Summary 2024'!V93</f>
        <v>2624392.4</v>
      </c>
      <c r="F95" s="211">
        <f>'Statements Summary 2025'!V95</f>
        <v>7339792.1871999996</v>
      </c>
      <c r="G95" s="211">
        <f t="shared" si="12"/>
        <v>13149988.987199999</v>
      </c>
      <c r="H95" s="211">
        <f>'Statements Summary 2027'!V95</f>
        <v>22338154.987199992</v>
      </c>
      <c r="I95" s="211">
        <f>'Statements Summary 2028'!V95</f>
        <v>32696764.987199977</v>
      </c>
      <c r="K95" s="211">
        <f>'BS 2026'!F14</f>
        <v>7772493.3871999998</v>
      </c>
      <c r="L95" s="211">
        <f>'BS 2026'!G14</f>
        <v>8215554.9871999994</v>
      </c>
      <c r="M95" s="211">
        <f>'BS 2026'!H14</f>
        <v>8631152.9871999994</v>
      </c>
      <c r="N95" s="211">
        <f>'BS 2026'!I14</f>
        <v>9329611.3871999998</v>
      </c>
      <c r="O95" s="211">
        <f>'BS 2026'!J14</f>
        <v>9760778.1872000005</v>
      </c>
      <c r="P95" s="211">
        <f>'BS 2026'!K14</f>
        <v>10201641.3872</v>
      </c>
      <c r="Q95" s="211">
        <f>'BS 2026'!L14</f>
        <v>10660280.987199999</v>
      </c>
      <c r="R95" s="211">
        <f>'BS 2026'!M14</f>
        <v>11127656.987199999</v>
      </c>
      <c r="S95" s="211">
        <f>'BS 2026'!N14</f>
        <v>11621608.987199999</v>
      </c>
      <c r="T95" s="211">
        <f>'BS 2026'!O14</f>
        <v>12117644.987199999</v>
      </c>
      <c r="U95" s="211">
        <f>'BS 2026'!P14</f>
        <v>12620860.987199999</v>
      </c>
      <c r="V95" s="211">
        <f>'BS 2026'!Q14</f>
        <v>13149988.987199999</v>
      </c>
    </row>
    <row r="96" spans="2:22" x14ac:dyDescent="0.3">
      <c r="B96" t="s">
        <v>63</v>
      </c>
      <c r="E96" s="211" t="str">
        <f>'Statements Summary 2024'!V94</f>
        <v>-</v>
      </c>
      <c r="F96" s="211" t="str">
        <f>'Statements Summary 2025'!V96</f>
        <v>-</v>
      </c>
      <c r="G96" s="211" t="str">
        <f t="shared" si="12"/>
        <v>-</v>
      </c>
      <c r="H96" s="211" t="str">
        <f>'Statements Summary 2027'!V96</f>
        <v>-</v>
      </c>
      <c r="I96" s="211" t="str">
        <f>'Statements Summary 2028'!V96</f>
        <v>-</v>
      </c>
      <c r="K96" s="211" t="s">
        <v>195</v>
      </c>
      <c r="L96" s="211" t="s">
        <v>195</v>
      </c>
      <c r="M96" s="211" t="s">
        <v>195</v>
      </c>
      <c r="N96" s="211" t="s">
        <v>195</v>
      </c>
      <c r="O96" s="211" t="s">
        <v>195</v>
      </c>
      <c r="P96" s="211" t="s">
        <v>195</v>
      </c>
      <c r="Q96" s="211" t="s">
        <v>195</v>
      </c>
      <c r="R96" s="211" t="s">
        <v>195</v>
      </c>
      <c r="S96" s="211" t="s">
        <v>195</v>
      </c>
      <c r="T96" s="211" t="s">
        <v>195</v>
      </c>
      <c r="U96" s="211" t="s">
        <v>195</v>
      </c>
      <c r="V96" s="211" t="s">
        <v>195</v>
      </c>
    </row>
    <row r="97" spans="2:22" x14ac:dyDescent="0.3">
      <c r="B97" t="s">
        <v>64</v>
      </c>
      <c r="E97" s="211">
        <f>'Statements Summary 2024'!V95</f>
        <v>0</v>
      </c>
      <c r="F97" s="211">
        <f>'Statements Summary 2025'!V97</f>
        <v>0</v>
      </c>
      <c r="G97" s="211">
        <f t="shared" si="12"/>
        <v>0</v>
      </c>
      <c r="H97" s="211">
        <f>'Statements Summary 2027'!V97</f>
        <v>0</v>
      </c>
      <c r="I97" s="211">
        <f>'Statements Summary 2028'!V97</f>
        <v>0</v>
      </c>
      <c r="K97" s="211" t="s">
        <v>195</v>
      </c>
      <c r="L97" s="211" t="s">
        <v>195</v>
      </c>
      <c r="M97" s="211" t="s">
        <v>195</v>
      </c>
      <c r="N97" s="211" t="s">
        <v>195</v>
      </c>
      <c r="O97" s="211" t="s">
        <v>195</v>
      </c>
      <c r="P97" s="211" t="s">
        <v>195</v>
      </c>
      <c r="Q97" s="211" t="s">
        <v>195</v>
      </c>
      <c r="R97" s="211" t="s">
        <v>195</v>
      </c>
      <c r="S97" s="211" t="s">
        <v>195</v>
      </c>
      <c r="T97" s="211" t="s">
        <v>195</v>
      </c>
      <c r="U97" s="211" t="s">
        <v>195</v>
      </c>
      <c r="V97" s="211"/>
    </row>
    <row r="98" spans="2:22" x14ac:dyDescent="0.3">
      <c r="B98" t="s">
        <v>65</v>
      </c>
      <c r="E98" s="211">
        <f>'Statements Summary 2024'!V96</f>
        <v>2644127.4</v>
      </c>
      <c r="F98" s="211">
        <f>'Statements Summary 2025'!V98</f>
        <v>7551879.4405999994</v>
      </c>
      <c r="G98" s="211">
        <f t="shared" si="12"/>
        <v>13527512.987199999</v>
      </c>
      <c r="H98" s="211">
        <f>'Statements Summary 2027'!V98</f>
        <v>22681828.587199993</v>
      </c>
      <c r="I98" s="211">
        <f>'Statements Summary 2028'!V98</f>
        <v>33038337.587199979</v>
      </c>
      <c r="K98" s="211">
        <f>K94</f>
        <v>7860077.3871999998</v>
      </c>
      <c r="L98" s="211">
        <f t="shared" ref="L98:V98" si="13">L94</f>
        <v>8347707.9871999994</v>
      </c>
      <c r="M98" s="211">
        <f t="shared" si="13"/>
        <v>8817330.9871999994</v>
      </c>
      <c r="N98" s="211">
        <f t="shared" si="13"/>
        <v>9492094.3871999998</v>
      </c>
      <c r="O98" s="211">
        <f t="shared" si="13"/>
        <v>10037104.187200001</v>
      </c>
      <c r="P98" s="211">
        <f t="shared" si="13"/>
        <v>10522563.3872</v>
      </c>
      <c r="Q98" s="211">
        <f t="shared" si="13"/>
        <v>11023778.987199999</v>
      </c>
      <c r="R98" s="211">
        <f t="shared" si="13"/>
        <v>11511456.987199999</v>
      </c>
      <c r="S98" s="211">
        <f t="shared" si="13"/>
        <v>12002593.987199999</v>
      </c>
      <c r="T98" s="211">
        <f t="shared" si="13"/>
        <v>12499819.987199999</v>
      </c>
      <c r="U98" s="211">
        <f t="shared" si="13"/>
        <v>13002951.987199999</v>
      </c>
      <c r="V98" s="211">
        <f t="shared" si="13"/>
        <v>13527512.987199999</v>
      </c>
    </row>
    <row r="99" spans="2:22" x14ac:dyDescent="0.3">
      <c r="B99" t="s">
        <v>66</v>
      </c>
      <c r="E99" s="211">
        <f>'Statements Summary 2024'!V97</f>
        <v>2644127.4</v>
      </c>
      <c r="F99" s="211">
        <f>'Statements Summary 2025'!V99</f>
        <v>7551879.4405999994</v>
      </c>
      <c r="G99" s="211">
        <f t="shared" si="12"/>
        <v>13527512.987199999</v>
      </c>
      <c r="H99" s="211">
        <f>'Statements Summary 2027'!V99</f>
        <v>22681828.587199993</v>
      </c>
      <c r="I99" s="211">
        <f>'Statements Summary 2028'!V99</f>
        <v>33038337.587199979</v>
      </c>
      <c r="K99" s="211">
        <f>K98</f>
        <v>7860077.3871999998</v>
      </c>
      <c r="L99" s="211">
        <f t="shared" ref="L99:V99" si="14">L98</f>
        <v>8347707.9871999994</v>
      </c>
      <c r="M99" s="211">
        <f t="shared" si="14"/>
        <v>8817330.9871999994</v>
      </c>
      <c r="N99" s="211">
        <f t="shared" si="14"/>
        <v>9492094.3871999998</v>
      </c>
      <c r="O99" s="211">
        <f t="shared" si="14"/>
        <v>10037104.187200001</v>
      </c>
      <c r="P99" s="211">
        <f t="shared" si="14"/>
        <v>10522563.3872</v>
      </c>
      <c r="Q99" s="211">
        <f t="shared" si="14"/>
        <v>11023778.987199999</v>
      </c>
      <c r="R99" s="211">
        <f t="shared" si="14"/>
        <v>11511456.987199999</v>
      </c>
      <c r="S99" s="211">
        <f t="shared" si="14"/>
        <v>12002593.987199999</v>
      </c>
      <c r="T99" s="211">
        <f t="shared" si="14"/>
        <v>12499819.987199999</v>
      </c>
      <c r="U99" s="211">
        <f t="shared" si="14"/>
        <v>13002951.987199999</v>
      </c>
      <c r="V99" s="211">
        <f t="shared" si="14"/>
        <v>13527512.987199999</v>
      </c>
    </row>
    <row r="101" spans="2:22" x14ac:dyDescent="0.3">
      <c r="B101" s="181" t="s">
        <v>333</v>
      </c>
      <c r="C101" s="181"/>
      <c r="D101" s="181"/>
      <c r="E101" s="181"/>
      <c r="F101" s="154"/>
      <c r="G101" s="154"/>
      <c r="H101" s="154"/>
      <c r="I101" s="154"/>
      <c r="K101" s="387" t="s">
        <v>256</v>
      </c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387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7C40E-DDC0-49CC-A76B-205EEE51CFF1}">
  <dimension ref="B2:W63"/>
  <sheetViews>
    <sheetView showGridLines="0" zoomScale="95" zoomScaleNormal="95" workbookViewId="0">
      <selection activeCell="B25" sqref="B25:B37"/>
    </sheetView>
  </sheetViews>
  <sheetFormatPr defaultRowHeight="14.4" x14ac:dyDescent="0.3"/>
  <cols>
    <col min="1" max="1" width="1.77734375" customWidth="1"/>
    <col min="2" max="2" width="24.5546875" customWidth="1"/>
    <col min="3" max="3" width="6.33203125" customWidth="1"/>
    <col min="4" max="4" width="5.88671875" customWidth="1"/>
    <col min="5" max="5" width="12.7773437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247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49"/>
      <c r="C4" s="149"/>
      <c r="D4" s="149"/>
      <c r="E4" s="149"/>
      <c r="F4" s="216">
        <v>2027</v>
      </c>
      <c r="G4" s="216">
        <v>2027</v>
      </c>
      <c r="H4" s="216">
        <v>2027</v>
      </c>
      <c r="I4" s="216">
        <v>2027</v>
      </c>
      <c r="J4" s="216">
        <v>2027</v>
      </c>
      <c r="K4" s="216">
        <v>2027</v>
      </c>
      <c r="L4" s="216">
        <v>2027</v>
      </c>
      <c r="M4" s="216">
        <v>2027</v>
      </c>
      <c r="N4" s="216">
        <v>2027</v>
      </c>
      <c r="O4" s="216">
        <v>2027</v>
      </c>
      <c r="P4" s="216">
        <v>2027</v>
      </c>
      <c r="Q4" s="216">
        <v>2027</v>
      </c>
      <c r="R4" s="216"/>
      <c r="S4" s="216"/>
      <c r="T4" s="216"/>
      <c r="U4" s="154"/>
      <c r="V4" s="154"/>
      <c r="W4" s="149"/>
    </row>
    <row r="5" spans="2:23" ht="15" customHeight="1" x14ac:dyDescent="0.3">
      <c r="B5" s="324" t="s">
        <v>0</v>
      </c>
      <c r="C5" s="166"/>
      <c r="D5" s="166"/>
      <c r="E5" s="166"/>
      <c r="F5" s="325" t="s">
        <v>32</v>
      </c>
      <c r="G5" s="325" t="s">
        <v>33</v>
      </c>
      <c r="H5" s="325" t="s">
        <v>34</v>
      </c>
      <c r="I5" s="325" t="s">
        <v>35</v>
      </c>
      <c r="J5" s="325" t="s">
        <v>36</v>
      </c>
      <c r="K5" s="325" t="s">
        <v>37</v>
      </c>
      <c r="L5" s="325" t="s">
        <v>38</v>
      </c>
      <c r="M5" s="325" t="s">
        <v>39</v>
      </c>
      <c r="N5" s="325" t="s">
        <v>40</v>
      </c>
      <c r="O5" s="325" t="s">
        <v>41</v>
      </c>
      <c r="P5" s="325" t="s">
        <v>42</v>
      </c>
      <c r="Q5" s="325" t="s">
        <v>43</v>
      </c>
      <c r="R5" s="166"/>
      <c r="S5" s="166"/>
      <c r="T5" s="166"/>
      <c r="U5" s="166"/>
      <c r="V5" s="166"/>
      <c r="W5" s="166"/>
    </row>
    <row r="6" spans="2:23" ht="15" customHeight="1" x14ac:dyDescent="0.3">
      <c r="B6" s="25"/>
      <c r="C6" s="329"/>
      <c r="D6" s="329"/>
      <c r="E6" s="329"/>
      <c r="F6" s="384" t="s">
        <v>243</v>
      </c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29"/>
      <c r="S6" s="329"/>
      <c r="T6" s="329"/>
      <c r="U6" s="329"/>
      <c r="V6" s="329"/>
    </row>
    <row r="7" spans="2:23" ht="14.4" customHeight="1" x14ac:dyDescent="0.3">
      <c r="B7" s="4" t="s">
        <v>242</v>
      </c>
      <c r="F7" s="220">
        <v>9000</v>
      </c>
      <c r="G7" s="220">
        <v>9200</v>
      </c>
      <c r="H7" s="220">
        <v>9300</v>
      </c>
      <c r="I7" s="220">
        <v>9400</v>
      </c>
      <c r="J7" s="220">
        <v>9500</v>
      </c>
      <c r="K7" s="220">
        <v>9600</v>
      </c>
      <c r="L7" s="220">
        <v>9700</v>
      </c>
      <c r="M7" s="220">
        <v>9800</v>
      </c>
      <c r="N7" s="220">
        <v>9900</v>
      </c>
      <c r="O7" s="220">
        <v>10000</v>
      </c>
      <c r="P7" s="220">
        <v>10100</v>
      </c>
      <c r="Q7" s="220">
        <v>10200</v>
      </c>
    </row>
    <row r="8" spans="2:23" x14ac:dyDescent="0.3">
      <c r="B8" s="4" t="s">
        <v>227</v>
      </c>
      <c r="F8" s="328">
        <v>3.5</v>
      </c>
      <c r="G8" s="328">
        <v>3.5</v>
      </c>
      <c r="H8" s="328">
        <v>3.5</v>
      </c>
      <c r="I8" s="328">
        <v>3.5</v>
      </c>
      <c r="J8" s="328">
        <v>3.5</v>
      </c>
      <c r="K8" s="328">
        <v>3.5</v>
      </c>
      <c r="L8" s="328">
        <v>3.5</v>
      </c>
      <c r="M8" s="328">
        <v>3.5</v>
      </c>
      <c r="N8" s="328">
        <v>3.5</v>
      </c>
      <c r="O8" s="328">
        <v>3.5</v>
      </c>
      <c r="P8" s="328">
        <v>3.5</v>
      </c>
      <c r="Q8" s="328">
        <v>3.5</v>
      </c>
    </row>
    <row r="9" spans="2:23" x14ac:dyDescent="0.3">
      <c r="B9" s="4" t="s">
        <v>230</v>
      </c>
      <c r="F9" s="318">
        <f t="shared" ref="F9:Q9" si="0">F7/F8</f>
        <v>2571.4285714285716</v>
      </c>
      <c r="G9" s="318">
        <f t="shared" si="0"/>
        <v>2628.5714285714284</v>
      </c>
      <c r="H9" s="318">
        <f t="shared" si="0"/>
        <v>2657.1428571428573</v>
      </c>
      <c r="I9" s="318">
        <f t="shared" si="0"/>
        <v>2685.7142857142858</v>
      </c>
      <c r="J9" s="318">
        <f t="shared" si="0"/>
        <v>2714.2857142857142</v>
      </c>
      <c r="K9" s="318">
        <f t="shared" si="0"/>
        <v>2742.8571428571427</v>
      </c>
      <c r="L9" s="318">
        <f t="shared" si="0"/>
        <v>2771.4285714285716</v>
      </c>
      <c r="M9" s="318">
        <f t="shared" si="0"/>
        <v>2800</v>
      </c>
      <c r="N9" s="318">
        <f t="shared" si="0"/>
        <v>2828.5714285714284</v>
      </c>
      <c r="O9" s="318">
        <f t="shared" si="0"/>
        <v>2857.1428571428573</v>
      </c>
      <c r="P9" s="318">
        <f t="shared" si="0"/>
        <v>2885.7142857142858</v>
      </c>
      <c r="Q9" s="318">
        <f t="shared" si="0"/>
        <v>2914.2857142857142</v>
      </c>
    </row>
    <row r="10" spans="2:23" x14ac:dyDescent="0.3">
      <c r="B10" s="4" t="s">
        <v>239</v>
      </c>
      <c r="F10" s="321">
        <v>1050</v>
      </c>
      <c r="G10" s="321">
        <v>1100</v>
      </c>
      <c r="H10" s="321">
        <v>1100</v>
      </c>
      <c r="I10" s="321">
        <v>1100</v>
      </c>
      <c r="J10" s="321">
        <v>1100</v>
      </c>
      <c r="K10" s="321">
        <v>1100</v>
      </c>
      <c r="L10" s="321">
        <v>1100</v>
      </c>
      <c r="M10" s="321">
        <v>1200</v>
      </c>
      <c r="N10" s="321">
        <v>1200</v>
      </c>
      <c r="O10" s="321">
        <v>1200</v>
      </c>
      <c r="P10" s="321">
        <v>1250</v>
      </c>
      <c r="Q10" s="321">
        <v>1250</v>
      </c>
    </row>
    <row r="11" spans="2:23" x14ac:dyDescent="0.3">
      <c r="B11" s="4" t="s">
        <v>240</v>
      </c>
      <c r="F11" s="326">
        <v>0.85</v>
      </c>
      <c r="G11" s="326">
        <v>0.85</v>
      </c>
      <c r="H11" s="326">
        <v>0.85</v>
      </c>
      <c r="I11" s="326">
        <v>0.85</v>
      </c>
      <c r="J11" s="326">
        <v>0.85</v>
      </c>
      <c r="K11" s="326">
        <v>0.85</v>
      </c>
      <c r="L11" s="326">
        <v>0.85</v>
      </c>
      <c r="M11" s="326">
        <v>0.85</v>
      </c>
      <c r="N11" s="326">
        <v>0.85</v>
      </c>
      <c r="O11" s="326">
        <v>0.85</v>
      </c>
      <c r="P11" s="326">
        <v>0.85</v>
      </c>
      <c r="Q11" s="326">
        <v>0.85</v>
      </c>
    </row>
    <row r="12" spans="2:23" x14ac:dyDescent="0.3">
      <c r="B12" s="4" t="s">
        <v>241</v>
      </c>
      <c r="F12" s="327">
        <f t="shared" ref="F12:Q12" si="1">F10*F11</f>
        <v>892.5</v>
      </c>
      <c r="G12" s="327">
        <f t="shared" si="1"/>
        <v>935</v>
      </c>
      <c r="H12" s="327">
        <f t="shared" si="1"/>
        <v>935</v>
      </c>
      <c r="I12" s="327">
        <f t="shared" si="1"/>
        <v>935</v>
      </c>
      <c r="J12" s="327">
        <f t="shared" si="1"/>
        <v>935</v>
      </c>
      <c r="K12" s="327">
        <f t="shared" si="1"/>
        <v>935</v>
      </c>
      <c r="L12" s="327">
        <f t="shared" si="1"/>
        <v>935</v>
      </c>
      <c r="M12" s="327">
        <f t="shared" si="1"/>
        <v>1020</v>
      </c>
      <c r="N12" s="327">
        <f t="shared" si="1"/>
        <v>1020</v>
      </c>
      <c r="O12" s="327">
        <f t="shared" si="1"/>
        <v>1020</v>
      </c>
      <c r="P12" s="327">
        <f t="shared" si="1"/>
        <v>1062.5</v>
      </c>
      <c r="Q12" s="327">
        <f t="shared" si="1"/>
        <v>1062.5</v>
      </c>
    </row>
    <row r="13" spans="2:23" x14ac:dyDescent="0.3">
      <c r="B13" s="4" t="s">
        <v>228</v>
      </c>
      <c r="F13" s="321">
        <v>7750</v>
      </c>
      <c r="G13" s="321">
        <v>7750</v>
      </c>
      <c r="H13" s="321">
        <v>7750</v>
      </c>
      <c r="I13" s="321">
        <v>7750</v>
      </c>
      <c r="J13" s="321">
        <v>7750</v>
      </c>
      <c r="K13" s="321">
        <v>7750</v>
      </c>
      <c r="L13" s="321">
        <v>7750</v>
      </c>
      <c r="M13" s="321">
        <v>7750</v>
      </c>
      <c r="N13" s="321">
        <v>7750</v>
      </c>
      <c r="O13" s="321">
        <v>7750</v>
      </c>
      <c r="P13" s="321">
        <v>7750</v>
      </c>
      <c r="Q13" s="321">
        <v>7750</v>
      </c>
    </row>
    <row r="14" spans="2:23" x14ac:dyDescent="0.3">
      <c r="B14" s="4" t="s">
        <v>231</v>
      </c>
      <c r="F14" s="322">
        <v>600</v>
      </c>
      <c r="G14" s="322">
        <v>600</v>
      </c>
      <c r="H14" s="322">
        <v>600</v>
      </c>
      <c r="I14" s="322">
        <v>600</v>
      </c>
      <c r="J14" s="322">
        <v>600</v>
      </c>
      <c r="K14" s="322">
        <v>600</v>
      </c>
      <c r="L14" s="322">
        <v>600</v>
      </c>
      <c r="M14" s="322">
        <v>600</v>
      </c>
      <c r="N14" s="322">
        <v>600</v>
      </c>
      <c r="O14" s="322">
        <v>600</v>
      </c>
      <c r="P14" s="322">
        <v>600</v>
      </c>
      <c r="Q14" s="322">
        <v>600</v>
      </c>
    </row>
    <row r="15" spans="2:23" x14ac:dyDescent="0.3">
      <c r="B15" s="4" t="s">
        <v>229</v>
      </c>
      <c r="F15" s="319">
        <f t="shared" ref="F15:Q15" si="2">F9+F12+F14</f>
        <v>4063.9285714285716</v>
      </c>
      <c r="G15" s="319">
        <f t="shared" si="2"/>
        <v>4163.5714285714284</v>
      </c>
      <c r="H15" s="319">
        <f t="shared" si="2"/>
        <v>4192.1428571428569</v>
      </c>
      <c r="I15" s="319">
        <f t="shared" si="2"/>
        <v>4220.7142857142862</v>
      </c>
      <c r="J15" s="319">
        <f t="shared" si="2"/>
        <v>4249.2857142857138</v>
      </c>
      <c r="K15" s="319">
        <f t="shared" si="2"/>
        <v>4277.8571428571431</v>
      </c>
      <c r="L15" s="319">
        <f t="shared" si="2"/>
        <v>4306.4285714285716</v>
      </c>
      <c r="M15" s="319">
        <f t="shared" si="2"/>
        <v>4420</v>
      </c>
      <c r="N15" s="319">
        <f t="shared" si="2"/>
        <v>4448.5714285714284</v>
      </c>
      <c r="O15" s="319">
        <f t="shared" si="2"/>
        <v>4477.1428571428569</v>
      </c>
      <c r="P15" s="319">
        <f t="shared" si="2"/>
        <v>4548.2142857142862</v>
      </c>
      <c r="Q15" s="319">
        <f t="shared" si="2"/>
        <v>4576.7857142857138</v>
      </c>
    </row>
    <row r="16" spans="2:23" x14ac:dyDescent="0.3">
      <c r="B16" s="25"/>
      <c r="C16" s="329"/>
      <c r="D16" s="329"/>
      <c r="E16" s="329"/>
      <c r="F16" s="385" t="s">
        <v>232</v>
      </c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29"/>
      <c r="S16" s="329"/>
      <c r="T16" s="329"/>
      <c r="U16" s="329"/>
      <c r="V16" s="329"/>
    </row>
    <row r="17" spans="2:22" x14ac:dyDescent="0.3">
      <c r="B17" s="4" t="s">
        <v>233</v>
      </c>
      <c r="F17" s="323">
        <v>0.63</v>
      </c>
      <c r="G17" s="323">
        <v>0.63</v>
      </c>
      <c r="H17" s="323">
        <v>0.63</v>
      </c>
      <c r="I17" s="323">
        <v>0.63</v>
      </c>
      <c r="J17" s="323">
        <v>0.63</v>
      </c>
      <c r="K17" s="323">
        <v>0.63</v>
      </c>
      <c r="L17" s="323">
        <v>0.63</v>
      </c>
      <c r="M17" s="323">
        <v>0.63</v>
      </c>
      <c r="N17" s="323">
        <v>0.63</v>
      </c>
      <c r="O17" s="323">
        <v>0.63</v>
      </c>
      <c r="P17" s="323">
        <v>0.63</v>
      </c>
      <c r="Q17" s="323">
        <v>0.63</v>
      </c>
    </row>
    <row r="18" spans="2:22" x14ac:dyDescent="0.3">
      <c r="B18" s="4" t="s">
        <v>234</v>
      </c>
      <c r="F18" s="220">
        <f t="shared" ref="F18:Q18" si="3">F15*F17</f>
        <v>2560.2750000000001</v>
      </c>
      <c r="G18" s="220">
        <f t="shared" si="3"/>
        <v>2623.0499999999997</v>
      </c>
      <c r="H18" s="220">
        <f t="shared" si="3"/>
        <v>2641.0499999999997</v>
      </c>
      <c r="I18" s="220">
        <f t="shared" si="3"/>
        <v>2659.05</v>
      </c>
      <c r="J18" s="220">
        <f t="shared" si="3"/>
        <v>2677.0499999999997</v>
      </c>
      <c r="K18" s="220">
        <f t="shared" si="3"/>
        <v>2695.05</v>
      </c>
      <c r="L18" s="220">
        <f t="shared" si="3"/>
        <v>2713.05</v>
      </c>
      <c r="M18" s="220">
        <f t="shared" si="3"/>
        <v>2784.6</v>
      </c>
      <c r="N18" s="220">
        <f t="shared" si="3"/>
        <v>2802.6</v>
      </c>
      <c r="O18" s="220">
        <f t="shared" si="3"/>
        <v>2820.6</v>
      </c>
      <c r="P18" s="220">
        <f t="shared" si="3"/>
        <v>2865.3750000000005</v>
      </c>
      <c r="Q18" s="220">
        <f t="shared" si="3"/>
        <v>2883.3749999999995</v>
      </c>
    </row>
    <row r="19" spans="2:22" x14ac:dyDescent="0.3">
      <c r="B19" s="4" t="s">
        <v>236</v>
      </c>
      <c r="F19" s="323">
        <v>0.1</v>
      </c>
      <c r="G19" s="323">
        <v>0.1</v>
      </c>
      <c r="H19" s="323">
        <v>0.1</v>
      </c>
      <c r="I19" s="323">
        <v>0.1</v>
      </c>
      <c r="J19" s="323">
        <v>0.1</v>
      </c>
      <c r="K19" s="323">
        <v>0.1</v>
      </c>
      <c r="L19" s="323">
        <v>0.1</v>
      </c>
      <c r="M19" s="323">
        <v>0.1</v>
      </c>
      <c r="N19" s="323">
        <v>0.1</v>
      </c>
      <c r="O19" s="323">
        <v>0.1</v>
      </c>
      <c r="P19" s="323">
        <v>0.1</v>
      </c>
      <c r="Q19" s="323">
        <v>0.1</v>
      </c>
    </row>
    <row r="20" spans="2:22" x14ac:dyDescent="0.3">
      <c r="B20" s="4" t="s">
        <v>237</v>
      </c>
      <c r="F20" s="220">
        <f t="shared" ref="F20:Q20" si="4">F18*F19</f>
        <v>256.02750000000003</v>
      </c>
      <c r="G20" s="220">
        <f t="shared" si="4"/>
        <v>262.30500000000001</v>
      </c>
      <c r="H20" s="220">
        <f t="shared" si="4"/>
        <v>264.10499999999996</v>
      </c>
      <c r="I20" s="220">
        <f t="shared" si="4"/>
        <v>265.90500000000003</v>
      </c>
      <c r="J20" s="220">
        <f t="shared" si="4"/>
        <v>267.70499999999998</v>
      </c>
      <c r="K20" s="220">
        <f t="shared" si="4"/>
        <v>269.50500000000005</v>
      </c>
      <c r="L20" s="220">
        <f t="shared" si="4"/>
        <v>271.30500000000001</v>
      </c>
      <c r="M20" s="220">
        <f t="shared" si="4"/>
        <v>278.45999999999998</v>
      </c>
      <c r="N20" s="220">
        <f t="shared" si="4"/>
        <v>280.26</v>
      </c>
      <c r="O20" s="220">
        <f t="shared" si="4"/>
        <v>282.06</v>
      </c>
      <c r="P20" s="220">
        <f t="shared" si="4"/>
        <v>286.53750000000008</v>
      </c>
      <c r="Q20" s="220">
        <f t="shared" si="4"/>
        <v>288.33749999999998</v>
      </c>
    </row>
    <row r="21" spans="2:22" x14ac:dyDescent="0.3">
      <c r="B21" s="4" t="s">
        <v>238</v>
      </c>
      <c r="F21" s="323">
        <f t="shared" ref="F21:Q21" si="5">1-F19</f>
        <v>0.9</v>
      </c>
      <c r="G21" s="323">
        <f t="shared" si="5"/>
        <v>0.9</v>
      </c>
      <c r="H21" s="323">
        <f t="shared" si="5"/>
        <v>0.9</v>
      </c>
      <c r="I21" s="323">
        <f t="shared" si="5"/>
        <v>0.9</v>
      </c>
      <c r="J21" s="323">
        <f t="shared" si="5"/>
        <v>0.9</v>
      </c>
      <c r="K21" s="323">
        <f t="shared" si="5"/>
        <v>0.9</v>
      </c>
      <c r="L21" s="323">
        <f t="shared" si="5"/>
        <v>0.9</v>
      </c>
      <c r="M21" s="323">
        <f t="shared" si="5"/>
        <v>0.9</v>
      </c>
      <c r="N21" s="323">
        <f t="shared" si="5"/>
        <v>0.9</v>
      </c>
      <c r="O21" s="323">
        <f t="shared" si="5"/>
        <v>0.9</v>
      </c>
      <c r="P21" s="323">
        <f t="shared" si="5"/>
        <v>0.9</v>
      </c>
      <c r="Q21" s="323">
        <f t="shared" si="5"/>
        <v>0.9</v>
      </c>
    </row>
    <row r="22" spans="2:22" x14ac:dyDescent="0.3">
      <c r="B22" s="4" t="s">
        <v>235</v>
      </c>
      <c r="F22" s="220">
        <f t="shared" ref="F22:Q22" si="6">F18*F21</f>
        <v>2304.2474999999999</v>
      </c>
      <c r="G22" s="220">
        <f t="shared" si="6"/>
        <v>2360.7449999999999</v>
      </c>
      <c r="H22" s="220">
        <f t="shared" si="6"/>
        <v>2376.9449999999997</v>
      </c>
      <c r="I22" s="220">
        <f t="shared" si="6"/>
        <v>2393.1450000000004</v>
      </c>
      <c r="J22" s="220">
        <f t="shared" si="6"/>
        <v>2409.3449999999998</v>
      </c>
      <c r="K22" s="220">
        <f t="shared" si="6"/>
        <v>2425.5450000000001</v>
      </c>
      <c r="L22" s="220">
        <f t="shared" si="6"/>
        <v>2441.7450000000003</v>
      </c>
      <c r="M22" s="220">
        <f t="shared" si="6"/>
        <v>2506.14</v>
      </c>
      <c r="N22" s="220">
        <f t="shared" si="6"/>
        <v>2522.34</v>
      </c>
      <c r="O22" s="220">
        <f t="shared" si="6"/>
        <v>2538.54</v>
      </c>
      <c r="P22" s="220">
        <f t="shared" si="6"/>
        <v>2578.8375000000005</v>
      </c>
      <c r="Q22" s="220">
        <f t="shared" si="6"/>
        <v>2595.0374999999995</v>
      </c>
    </row>
    <row r="23" spans="2:22" x14ac:dyDescent="0.3">
      <c r="B23" s="4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</row>
    <row r="24" spans="2:22" ht="15" customHeight="1" x14ac:dyDescent="0.3">
      <c r="B24" s="25"/>
      <c r="C24" s="329"/>
      <c r="D24" s="329"/>
      <c r="E24" s="329"/>
      <c r="F24" s="386" t="s">
        <v>282</v>
      </c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29"/>
      <c r="S24" s="329"/>
      <c r="T24" s="329"/>
      <c r="U24" s="329"/>
      <c r="V24" s="329"/>
    </row>
    <row r="25" spans="2:22" x14ac:dyDescent="0.3">
      <c r="B25" s="344" t="s">
        <v>337</v>
      </c>
      <c r="C25" s="342" t="s">
        <v>260</v>
      </c>
      <c r="D25" s="9">
        <v>135</v>
      </c>
      <c r="F25" s="323">
        <f>F26/F22</f>
        <v>5.988939990170327E-2</v>
      </c>
      <c r="G25" s="323">
        <f t="shared" ref="G25:Q25" si="7">G26/G22</f>
        <v>6.0150503336870352E-2</v>
      </c>
      <c r="H25" s="323">
        <f t="shared" si="7"/>
        <v>6.0161257412350733E-2</v>
      </c>
      <c r="I25" s="323">
        <f t="shared" si="7"/>
        <v>6.0171865891953884E-2</v>
      </c>
      <c r="J25" s="323">
        <f t="shared" si="7"/>
        <v>6.0182331712560891E-2</v>
      </c>
      <c r="K25" s="323">
        <f t="shared" si="7"/>
        <v>6.0192657732592053E-2</v>
      </c>
      <c r="L25" s="323">
        <f t="shared" si="7"/>
        <v>6.020284673460987E-2</v>
      </c>
      <c r="M25" s="323">
        <f t="shared" si="7"/>
        <v>5.9853001029471622E-2</v>
      </c>
      <c r="N25" s="323">
        <f t="shared" si="7"/>
        <v>6.1054417723225257E-2</v>
      </c>
      <c r="O25" s="323">
        <f t="shared" si="7"/>
        <v>6.1058718791116157E-2</v>
      </c>
      <c r="P25" s="323">
        <f t="shared" si="7"/>
        <v>5.8165743285491997E-2</v>
      </c>
      <c r="Q25" s="323">
        <f t="shared" si="7"/>
        <v>6.0114738226326223E-2</v>
      </c>
    </row>
    <row r="26" spans="2:22" x14ac:dyDescent="0.3">
      <c r="B26" s="344"/>
      <c r="C26" s="342"/>
      <c r="D26" s="342"/>
      <c r="E26" s="342" t="s">
        <v>307</v>
      </c>
      <c r="F26" s="330">
        <v>138</v>
      </c>
      <c r="G26" s="330">
        <v>142</v>
      </c>
      <c r="H26" s="330">
        <v>143</v>
      </c>
      <c r="I26" s="330">
        <v>144</v>
      </c>
      <c r="J26" s="330">
        <v>145</v>
      </c>
      <c r="K26" s="330">
        <v>146</v>
      </c>
      <c r="L26" s="330">
        <v>147</v>
      </c>
      <c r="M26" s="330">
        <v>150</v>
      </c>
      <c r="N26" s="330">
        <v>154</v>
      </c>
      <c r="O26" s="330">
        <v>155</v>
      </c>
      <c r="P26" s="330">
        <v>150</v>
      </c>
      <c r="Q26" s="330">
        <v>156</v>
      </c>
    </row>
    <row r="27" spans="2:22" x14ac:dyDescent="0.3">
      <c r="B27" s="344"/>
      <c r="C27" s="342"/>
      <c r="D27" s="388" t="s">
        <v>306</v>
      </c>
      <c r="E27" s="388"/>
      <c r="F27" s="320">
        <f t="shared" ref="F27:Q27" si="8">IF($B25&gt;" ", F26*$D25," ")</f>
        <v>18630</v>
      </c>
      <c r="G27" s="320">
        <f t="shared" si="8"/>
        <v>19170</v>
      </c>
      <c r="H27" s="320">
        <f t="shared" si="8"/>
        <v>19305</v>
      </c>
      <c r="I27" s="320">
        <f t="shared" si="8"/>
        <v>19440</v>
      </c>
      <c r="J27" s="320">
        <f t="shared" si="8"/>
        <v>19575</v>
      </c>
      <c r="K27" s="320">
        <f t="shared" si="8"/>
        <v>19710</v>
      </c>
      <c r="L27" s="320">
        <f t="shared" si="8"/>
        <v>19845</v>
      </c>
      <c r="M27" s="320">
        <f t="shared" si="8"/>
        <v>20250</v>
      </c>
      <c r="N27" s="320">
        <f t="shared" si="8"/>
        <v>20790</v>
      </c>
      <c r="O27" s="320">
        <f t="shared" si="8"/>
        <v>20925</v>
      </c>
      <c r="P27" s="320">
        <f t="shared" si="8"/>
        <v>20250</v>
      </c>
      <c r="Q27" s="320">
        <f t="shared" si="8"/>
        <v>21060</v>
      </c>
    </row>
    <row r="28" spans="2:22" x14ac:dyDescent="0.3">
      <c r="B28" s="344" t="s">
        <v>338</v>
      </c>
      <c r="C28" s="342" t="s">
        <v>260</v>
      </c>
      <c r="D28" s="342">
        <v>190</v>
      </c>
      <c r="E28" s="342"/>
      <c r="F28" s="323">
        <f>F29/F22</f>
        <v>5.988939990170327E-2</v>
      </c>
      <c r="G28" s="323">
        <f t="shared" ref="G28:Q28" si="9">G29/G22</f>
        <v>6.0150503336870352E-2</v>
      </c>
      <c r="H28" s="323">
        <f t="shared" si="9"/>
        <v>6.0161257412350733E-2</v>
      </c>
      <c r="I28" s="323">
        <f t="shared" si="9"/>
        <v>6.0171865891953884E-2</v>
      </c>
      <c r="J28" s="323">
        <f t="shared" si="9"/>
        <v>6.0182331712560891E-2</v>
      </c>
      <c r="K28" s="323">
        <f t="shared" si="9"/>
        <v>6.0192657732592053E-2</v>
      </c>
      <c r="L28" s="323">
        <f t="shared" si="9"/>
        <v>6.020284673460987E-2</v>
      </c>
      <c r="M28" s="323">
        <f t="shared" si="9"/>
        <v>5.9853001029471622E-2</v>
      </c>
      <c r="N28" s="323">
        <f t="shared" si="9"/>
        <v>6.1054417723225257E-2</v>
      </c>
      <c r="O28" s="323">
        <f t="shared" si="9"/>
        <v>6.1058718791116157E-2</v>
      </c>
      <c r="P28" s="323">
        <f t="shared" si="9"/>
        <v>5.8165743285491997E-2</v>
      </c>
      <c r="Q28" s="323">
        <f t="shared" si="9"/>
        <v>6.0114738226326223E-2</v>
      </c>
    </row>
    <row r="29" spans="2:22" x14ac:dyDescent="0.3">
      <c r="B29" s="344"/>
      <c r="C29" s="342"/>
      <c r="D29" s="342"/>
      <c r="E29" s="342" t="s">
        <v>307</v>
      </c>
      <c r="F29" s="330">
        <v>138</v>
      </c>
      <c r="G29" s="330">
        <v>142</v>
      </c>
      <c r="H29" s="330">
        <v>143</v>
      </c>
      <c r="I29" s="330">
        <v>144</v>
      </c>
      <c r="J29" s="330">
        <v>145</v>
      </c>
      <c r="K29" s="330">
        <v>146</v>
      </c>
      <c r="L29" s="330">
        <v>147</v>
      </c>
      <c r="M29" s="330">
        <v>150</v>
      </c>
      <c r="N29" s="330">
        <v>154</v>
      </c>
      <c r="O29" s="330">
        <v>155</v>
      </c>
      <c r="P29" s="330">
        <v>150</v>
      </c>
      <c r="Q29" s="330">
        <v>156</v>
      </c>
    </row>
    <row r="30" spans="2:22" x14ac:dyDescent="0.3">
      <c r="B30" s="344"/>
      <c r="C30" s="342"/>
      <c r="D30" s="388" t="s">
        <v>306</v>
      </c>
      <c r="E30" s="388"/>
      <c r="F30" s="320">
        <f t="shared" ref="F30:Q30" si="10">IF($B28&gt;" ", F29*$D28," ")</f>
        <v>26220</v>
      </c>
      <c r="G30" s="320">
        <f t="shared" si="10"/>
        <v>26980</v>
      </c>
      <c r="H30" s="320">
        <f t="shared" si="10"/>
        <v>27170</v>
      </c>
      <c r="I30" s="320">
        <f t="shared" si="10"/>
        <v>27360</v>
      </c>
      <c r="J30" s="320">
        <f t="shared" si="10"/>
        <v>27550</v>
      </c>
      <c r="K30" s="320">
        <f t="shared" si="10"/>
        <v>27740</v>
      </c>
      <c r="L30" s="320">
        <f t="shared" si="10"/>
        <v>27930</v>
      </c>
      <c r="M30" s="320">
        <f t="shared" si="10"/>
        <v>28500</v>
      </c>
      <c r="N30" s="320">
        <f t="shared" si="10"/>
        <v>29260</v>
      </c>
      <c r="O30" s="320">
        <f t="shared" si="10"/>
        <v>29450</v>
      </c>
      <c r="P30" s="320">
        <f t="shared" si="10"/>
        <v>28500</v>
      </c>
      <c r="Q30" s="320">
        <f t="shared" si="10"/>
        <v>29640</v>
      </c>
    </row>
    <row r="31" spans="2:22" x14ac:dyDescent="0.3">
      <c r="B31" s="344" t="s">
        <v>339</v>
      </c>
      <c r="C31" s="342" t="s">
        <v>260</v>
      </c>
      <c r="D31" s="342">
        <v>265</v>
      </c>
      <c r="E31" s="342"/>
      <c r="F31" s="323">
        <f>F32/F22</f>
        <v>0.12021278096211453</v>
      </c>
      <c r="G31" s="323">
        <f t="shared" ref="G31:Q31" si="11">G32/G22</f>
        <v>0.11987741157981908</v>
      </c>
      <c r="H31" s="323">
        <f t="shared" si="11"/>
        <v>0.11990180673090881</v>
      </c>
      <c r="I31" s="323">
        <f t="shared" si="11"/>
        <v>0.11992587160410254</v>
      </c>
      <c r="J31" s="323">
        <f t="shared" si="11"/>
        <v>0.11994961286158687</v>
      </c>
      <c r="K31" s="323">
        <f t="shared" si="11"/>
        <v>0.11997303698756362</v>
      </c>
      <c r="L31" s="323">
        <f t="shared" si="11"/>
        <v>0.11999615029415436</v>
      </c>
      <c r="M31" s="323">
        <f t="shared" si="11"/>
        <v>0.11970600205894324</v>
      </c>
      <c r="N31" s="323">
        <f t="shared" si="11"/>
        <v>0.1201265491567354</v>
      </c>
      <c r="O31" s="323">
        <f t="shared" si="11"/>
        <v>0.12014780149219631</v>
      </c>
      <c r="P31" s="323">
        <f t="shared" si="11"/>
        <v>0.12020920279001679</v>
      </c>
      <c r="Q31" s="323">
        <f t="shared" si="11"/>
        <v>0.11984412556658625</v>
      </c>
    </row>
    <row r="32" spans="2:22" x14ac:dyDescent="0.3">
      <c r="B32" s="344"/>
      <c r="C32" s="342"/>
      <c r="D32" s="342"/>
      <c r="E32" s="342" t="s">
        <v>307</v>
      </c>
      <c r="F32" s="330">
        <v>277</v>
      </c>
      <c r="G32" s="330">
        <v>283</v>
      </c>
      <c r="H32" s="330">
        <v>285</v>
      </c>
      <c r="I32" s="330">
        <v>287</v>
      </c>
      <c r="J32" s="330">
        <v>289</v>
      </c>
      <c r="K32" s="330">
        <v>291</v>
      </c>
      <c r="L32" s="330">
        <v>293</v>
      </c>
      <c r="M32" s="330">
        <v>300</v>
      </c>
      <c r="N32" s="330">
        <v>303</v>
      </c>
      <c r="O32" s="330">
        <v>305</v>
      </c>
      <c r="P32" s="330">
        <v>310</v>
      </c>
      <c r="Q32" s="330">
        <v>311</v>
      </c>
    </row>
    <row r="33" spans="2:23" x14ac:dyDescent="0.3">
      <c r="B33" s="344"/>
      <c r="C33" s="342"/>
      <c r="D33" s="388" t="s">
        <v>306</v>
      </c>
      <c r="E33" s="388"/>
      <c r="F33" s="320">
        <f t="shared" ref="F33:Q33" si="12">IF($B31&gt;" ", F32*$D31," ")</f>
        <v>73405</v>
      </c>
      <c r="G33" s="320">
        <f t="shared" si="12"/>
        <v>74995</v>
      </c>
      <c r="H33" s="320">
        <f t="shared" si="12"/>
        <v>75525</v>
      </c>
      <c r="I33" s="320">
        <f t="shared" si="12"/>
        <v>76055</v>
      </c>
      <c r="J33" s="320">
        <f t="shared" si="12"/>
        <v>76585</v>
      </c>
      <c r="K33" s="320">
        <f t="shared" si="12"/>
        <v>77115</v>
      </c>
      <c r="L33" s="320">
        <f t="shared" si="12"/>
        <v>77645</v>
      </c>
      <c r="M33" s="320">
        <f t="shared" si="12"/>
        <v>79500</v>
      </c>
      <c r="N33" s="320">
        <f t="shared" si="12"/>
        <v>80295</v>
      </c>
      <c r="O33" s="320">
        <f t="shared" si="12"/>
        <v>80825</v>
      </c>
      <c r="P33" s="320">
        <f t="shared" si="12"/>
        <v>82150</v>
      </c>
      <c r="Q33" s="320">
        <f t="shared" si="12"/>
        <v>82415</v>
      </c>
    </row>
    <row r="34" spans="2:23" x14ac:dyDescent="0.3">
      <c r="B34" s="344" t="s">
        <v>340</v>
      </c>
      <c r="C34" s="342" t="s">
        <v>260</v>
      </c>
      <c r="D34" s="342">
        <v>380</v>
      </c>
      <c r="E34" s="342"/>
      <c r="F34" s="323">
        <f>F35/F22</f>
        <v>0.27991784736665659</v>
      </c>
      <c r="G34" s="323">
        <f t="shared" ref="G34:Q34" si="13">G35/G22</f>
        <v>0.27999635708219228</v>
      </c>
      <c r="H34" s="323">
        <f t="shared" si="13"/>
        <v>0.28019159046591319</v>
      </c>
      <c r="I34" s="323">
        <f t="shared" si="13"/>
        <v>0.27996632046950765</v>
      </c>
      <c r="J34" s="323">
        <f t="shared" si="13"/>
        <v>0.28015913038605933</v>
      </c>
      <c r="K34" s="323">
        <f t="shared" si="13"/>
        <v>0.27993708630431513</v>
      </c>
      <c r="L34" s="323">
        <f t="shared" si="13"/>
        <v>0.28012753174471533</v>
      </c>
      <c r="M34" s="323">
        <f t="shared" si="13"/>
        <v>0.27931400480420088</v>
      </c>
      <c r="N34" s="323">
        <f t="shared" si="13"/>
        <v>0.27910590959188686</v>
      </c>
      <c r="O34" s="323">
        <f t="shared" si="13"/>
        <v>0.28008225200311992</v>
      </c>
      <c r="P34" s="323">
        <f t="shared" si="13"/>
        <v>0.27997111101416816</v>
      </c>
      <c r="Q34" s="323">
        <f t="shared" si="13"/>
        <v>0.28015009417012282</v>
      </c>
    </row>
    <row r="35" spans="2:23" ht="13.2" customHeight="1" x14ac:dyDescent="0.3">
      <c r="B35" s="344"/>
      <c r="C35" s="342"/>
      <c r="D35" s="342"/>
      <c r="E35" s="342" t="s">
        <v>307</v>
      </c>
      <c r="F35" s="330">
        <v>645</v>
      </c>
      <c r="G35" s="330">
        <v>661</v>
      </c>
      <c r="H35" s="330">
        <v>666</v>
      </c>
      <c r="I35" s="330">
        <v>670</v>
      </c>
      <c r="J35" s="330">
        <v>675</v>
      </c>
      <c r="K35" s="330">
        <v>679</v>
      </c>
      <c r="L35" s="330">
        <v>684</v>
      </c>
      <c r="M35" s="330">
        <v>700</v>
      </c>
      <c r="N35" s="330">
        <v>704</v>
      </c>
      <c r="O35" s="330">
        <v>711</v>
      </c>
      <c r="P35" s="330">
        <v>722</v>
      </c>
      <c r="Q35" s="330">
        <v>727</v>
      </c>
    </row>
    <row r="36" spans="2:23" ht="13.2" customHeight="1" x14ac:dyDescent="0.3">
      <c r="B36" s="344"/>
      <c r="C36" s="342"/>
      <c r="D36" s="388" t="s">
        <v>306</v>
      </c>
      <c r="E36" s="388"/>
      <c r="F36" s="320">
        <f t="shared" ref="F36:Q36" si="14">IF($B34&gt;" ", F35*$D34," ")</f>
        <v>245100</v>
      </c>
      <c r="G36" s="320">
        <f t="shared" si="14"/>
        <v>251180</v>
      </c>
      <c r="H36" s="320">
        <f t="shared" si="14"/>
        <v>253080</v>
      </c>
      <c r="I36" s="320">
        <f t="shared" si="14"/>
        <v>254600</v>
      </c>
      <c r="J36" s="320">
        <f t="shared" si="14"/>
        <v>256500</v>
      </c>
      <c r="K36" s="320">
        <f t="shared" si="14"/>
        <v>258020</v>
      </c>
      <c r="L36" s="320">
        <f t="shared" si="14"/>
        <v>259920</v>
      </c>
      <c r="M36" s="320">
        <f t="shared" si="14"/>
        <v>266000</v>
      </c>
      <c r="N36" s="320">
        <f t="shared" si="14"/>
        <v>267520</v>
      </c>
      <c r="O36" s="320">
        <f t="shared" si="14"/>
        <v>270180</v>
      </c>
      <c r="P36" s="320">
        <f t="shared" si="14"/>
        <v>274360</v>
      </c>
      <c r="Q36" s="320">
        <f t="shared" si="14"/>
        <v>276260</v>
      </c>
    </row>
    <row r="37" spans="2:23" x14ac:dyDescent="0.3">
      <c r="B37" s="344" t="s">
        <v>341</v>
      </c>
      <c r="C37" s="342" t="s">
        <v>260</v>
      </c>
      <c r="D37" s="342">
        <v>470</v>
      </c>
      <c r="E37" s="342"/>
      <c r="F37" s="323">
        <f>F38/F22</f>
        <v>0.47998316153104215</v>
      </c>
      <c r="G37" s="323">
        <f t="shared" ref="G37:Q37" si="15">G38/G22</f>
        <v>0.47993324141319799</v>
      </c>
      <c r="H37" s="323">
        <f t="shared" si="15"/>
        <v>0.48002793501742791</v>
      </c>
      <c r="I37" s="323">
        <f t="shared" si="15"/>
        <v>0.48012134659621536</v>
      </c>
      <c r="J37" s="323">
        <f t="shared" si="15"/>
        <v>0.47979845144634747</v>
      </c>
      <c r="K37" s="323">
        <f t="shared" si="15"/>
        <v>0.47989214795025448</v>
      </c>
      <c r="L37" s="323">
        <f t="shared" si="15"/>
        <v>0.47998460117661745</v>
      </c>
      <c r="M37" s="323">
        <f t="shared" si="15"/>
        <v>0.48002106825636237</v>
      </c>
      <c r="N37" s="323">
        <f t="shared" si="15"/>
        <v>0.48010973936899859</v>
      </c>
      <c r="O37" s="323">
        <f t="shared" si="15"/>
        <v>0.47980335153277082</v>
      </c>
      <c r="P37" s="323">
        <f t="shared" si="15"/>
        <v>0.48006126791626064</v>
      </c>
      <c r="Q37" s="323">
        <f t="shared" si="15"/>
        <v>0.48014720403847738</v>
      </c>
    </row>
    <row r="38" spans="2:23" x14ac:dyDescent="0.3">
      <c r="B38" s="4"/>
      <c r="D38" s="342"/>
      <c r="E38" s="342" t="s">
        <v>307</v>
      </c>
      <c r="F38" s="330">
        <v>1106</v>
      </c>
      <c r="G38" s="330">
        <v>1133</v>
      </c>
      <c r="H38" s="330">
        <v>1141</v>
      </c>
      <c r="I38" s="330">
        <v>1149</v>
      </c>
      <c r="J38" s="330">
        <v>1156</v>
      </c>
      <c r="K38" s="330">
        <v>1164</v>
      </c>
      <c r="L38" s="330">
        <v>1172</v>
      </c>
      <c r="M38" s="330">
        <v>1203</v>
      </c>
      <c r="N38" s="330">
        <v>1211</v>
      </c>
      <c r="O38" s="330">
        <v>1218</v>
      </c>
      <c r="P38" s="330">
        <v>1238</v>
      </c>
      <c r="Q38" s="330">
        <v>1246</v>
      </c>
    </row>
    <row r="39" spans="2:23" x14ac:dyDescent="0.3">
      <c r="B39" s="4"/>
      <c r="D39" s="388" t="s">
        <v>306</v>
      </c>
      <c r="E39" s="388"/>
      <c r="F39" s="320">
        <f t="shared" ref="F39:Q39" si="16">IF($B37&gt;" ", F38*$D37," ")</f>
        <v>519820</v>
      </c>
      <c r="G39" s="320">
        <f t="shared" si="16"/>
        <v>532510</v>
      </c>
      <c r="H39" s="320">
        <f t="shared" si="16"/>
        <v>536270</v>
      </c>
      <c r="I39" s="320">
        <f t="shared" si="16"/>
        <v>540030</v>
      </c>
      <c r="J39" s="320">
        <f t="shared" si="16"/>
        <v>543320</v>
      </c>
      <c r="K39" s="320">
        <f t="shared" si="16"/>
        <v>547080</v>
      </c>
      <c r="L39" s="320">
        <f t="shared" si="16"/>
        <v>550840</v>
      </c>
      <c r="M39" s="320">
        <f t="shared" si="16"/>
        <v>565410</v>
      </c>
      <c r="N39" s="320">
        <f t="shared" si="16"/>
        <v>569170</v>
      </c>
      <c r="O39" s="320">
        <f t="shared" si="16"/>
        <v>572460</v>
      </c>
      <c r="P39" s="320">
        <f t="shared" si="16"/>
        <v>581860</v>
      </c>
      <c r="Q39" s="320">
        <f t="shared" si="16"/>
        <v>585620</v>
      </c>
    </row>
    <row r="40" spans="2:23" ht="13.2" customHeight="1" x14ac:dyDescent="0.3">
      <c r="B40" s="331"/>
      <c r="C40" s="214"/>
      <c r="D40" s="214"/>
      <c r="E40" s="214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214"/>
      <c r="S40" s="214"/>
      <c r="T40" s="214"/>
      <c r="U40" s="214"/>
      <c r="V40" s="214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39"/>
      <c r="C42" s="203"/>
      <c r="D42" s="340"/>
      <c r="F42" s="339" t="s">
        <v>19</v>
      </c>
      <c r="G42" s="203"/>
      <c r="H42" s="203"/>
      <c r="I42" s="203"/>
      <c r="J42" s="340"/>
      <c r="L42" s="390"/>
      <c r="M42" s="390"/>
      <c r="N42" s="390"/>
      <c r="O42" s="390"/>
      <c r="P42" s="390"/>
      <c r="Q42" s="390"/>
      <c r="R42" s="390"/>
      <c r="S42" s="390"/>
      <c r="T42" s="390"/>
      <c r="U42" s="390"/>
      <c r="V42" s="390"/>
      <c r="W42" s="17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</row>
    <row r="44" spans="2:23" x14ac:dyDescent="0.3">
      <c r="B44" s="4" t="s">
        <v>119</v>
      </c>
      <c r="D44" s="5"/>
      <c r="F44" s="18">
        <f>'IS 2024'!U17</f>
        <v>4830841</v>
      </c>
      <c r="G44" s="1">
        <f>'IS 2025'!U17</f>
        <v>6860174.7340000002</v>
      </c>
      <c r="H44" s="1">
        <f>'IS 2026'!U17</f>
        <v>7601190</v>
      </c>
      <c r="I44" s="1">
        <f>'IS 2027'!U17</f>
        <v>11288870</v>
      </c>
      <c r="J44" s="194">
        <f>'IS 2028'!U17</f>
        <v>12737175</v>
      </c>
      <c r="K44" s="1"/>
    </row>
    <row r="45" spans="2:23" x14ac:dyDescent="0.3">
      <c r="B45" s="4" t="s">
        <v>3</v>
      </c>
      <c r="D45" s="5"/>
      <c r="F45" s="18">
        <f>'IS 2024'!U18</f>
        <v>-124680</v>
      </c>
      <c r="G45" s="1">
        <f>'IS 2025'!U18</f>
        <v>-124680</v>
      </c>
      <c r="H45" s="1">
        <f>'IS 2026'!U18</f>
        <v>103320</v>
      </c>
      <c r="I45" s="1">
        <f>'IS 2027'!U18</f>
        <v>-390528</v>
      </c>
      <c r="J45" s="194">
        <f>'IS 2028'!U18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5130697</v>
      </c>
      <c r="G46" s="1">
        <f>G44-G45-G48-G49-G50</f>
        <v>7160030.7340000002</v>
      </c>
      <c r="H46" s="1">
        <f>H44-H45-H48-H49-H50</f>
        <v>8165046</v>
      </c>
      <c r="I46" s="1">
        <f>I44-I45-I48-I49-I50</f>
        <v>12652476</v>
      </c>
      <c r="J46" s="194">
        <f>J44-J45-J48-J49-J50</f>
        <v>14159781</v>
      </c>
      <c r="K46" s="1"/>
    </row>
    <row r="47" spans="2:23" x14ac:dyDescent="0.3">
      <c r="B47" s="4" t="s">
        <v>30</v>
      </c>
      <c r="D47" s="5"/>
      <c r="F47" s="195">
        <f>F46/F44</f>
        <v>1.0620711797386833</v>
      </c>
      <c r="G47" s="19">
        <f>G46/G44</f>
        <v>1.0437096738241769</v>
      </c>
      <c r="H47" s="19">
        <f>H46/H44</f>
        <v>1.0741799639267009</v>
      </c>
      <c r="I47" s="19">
        <f>I46/I44</f>
        <v>1.1207920721914593</v>
      </c>
      <c r="J47" s="196">
        <f>J46/J44</f>
        <v>1.1116892874597388</v>
      </c>
      <c r="K47" s="19"/>
    </row>
    <row r="48" spans="2:23" x14ac:dyDescent="0.3">
      <c r="B48" s="4" t="s">
        <v>5</v>
      </c>
      <c r="D48" s="5"/>
      <c r="F48" s="18">
        <f>'IS 2024'!U39</f>
        <v>-48756</v>
      </c>
      <c r="G48" s="1">
        <f>'IS 2025'!U40</f>
        <v>-48756</v>
      </c>
      <c r="H48" s="1">
        <f>'IS 2026'!U39</f>
        <v>-540756</v>
      </c>
      <c r="I48" s="1">
        <f>'IS 2027'!U38</f>
        <v>-540756</v>
      </c>
      <c r="J48" s="194">
        <f>'IS 2028'!U38</f>
        <v>-540756</v>
      </c>
      <c r="K48" s="1"/>
    </row>
    <row r="49" spans="2:11" x14ac:dyDescent="0.3">
      <c r="B49" s="4" t="s">
        <v>6</v>
      </c>
      <c r="D49" s="5"/>
      <c r="F49" s="18">
        <f>'IS 2024'!U38</f>
        <v>-27420</v>
      </c>
      <c r="G49" s="1">
        <f>'IS 2025'!U39</f>
        <v>-27420</v>
      </c>
      <c r="H49" s="1">
        <f>'IS 2026'!U38</f>
        <v>-27420</v>
      </c>
      <c r="I49" s="1">
        <f>'IS 2027'!U37</f>
        <v>-333322</v>
      </c>
      <c r="J49" s="194">
        <f>'IS 2028'!U37</f>
        <v>-333322</v>
      </c>
      <c r="K49" s="1"/>
    </row>
    <row r="50" spans="2:11" x14ac:dyDescent="0.3">
      <c r="B50" s="4" t="s">
        <v>7</v>
      </c>
      <c r="D50" s="5"/>
      <c r="F50" s="18">
        <f>'IS 2024'!U58</f>
        <v>-99000</v>
      </c>
      <c r="G50" s="1">
        <f>'IS 2025'!U59</f>
        <v>-99000</v>
      </c>
      <c r="H50" s="1">
        <f>'IS 2026'!U58</f>
        <v>-99000</v>
      </c>
      <c r="I50" s="1">
        <f>'IS 2027'!U56</f>
        <v>-99000</v>
      </c>
      <c r="J50" s="194">
        <f>'IS 2028'!U56</f>
        <v>-99000</v>
      </c>
      <c r="K50" s="1"/>
    </row>
    <row r="51" spans="2:11" x14ac:dyDescent="0.3">
      <c r="B51" s="4" t="s">
        <v>8</v>
      </c>
      <c r="D51" s="5"/>
      <c r="F51" s="18">
        <f>F60/F44*100</f>
        <v>75.841717829255813</v>
      </c>
      <c r="G51" s="1">
        <f>F60/F44*100</f>
        <v>75.841717829255813</v>
      </c>
      <c r="H51" s="1">
        <f>F60/F44*100</f>
        <v>75.841717829255813</v>
      </c>
      <c r="I51" s="1">
        <f>I60/I44*100</f>
        <v>74.168769770579345</v>
      </c>
      <c r="J51" s="194">
        <f>J60/J44*100</f>
        <v>74.461252200743104</v>
      </c>
      <c r="K51" s="1"/>
    </row>
    <row r="52" spans="2:11" x14ac:dyDescent="0.3">
      <c r="B52" s="4" t="s">
        <v>9</v>
      </c>
      <c r="D52" s="5"/>
      <c r="F52" s="195">
        <f>F60/F44</f>
        <v>0.75841717829255817</v>
      </c>
      <c r="G52" s="19">
        <f>G60/G44</f>
        <v>0.77071794702190144</v>
      </c>
      <c r="H52" s="19">
        <f>H60/H44</f>
        <v>0.79756880172709799</v>
      </c>
      <c r="I52" s="19">
        <f>I60/I44</f>
        <v>0.74168769770579346</v>
      </c>
      <c r="J52" s="196">
        <f>J60/J44</f>
        <v>0.74461252200743111</v>
      </c>
      <c r="K52" s="19"/>
    </row>
    <row r="53" spans="2:11" x14ac:dyDescent="0.3">
      <c r="B53" s="4" t="s">
        <v>10</v>
      </c>
      <c r="D53" s="5"/>
      <c r="F53" s="18">
        <f>'IS 2024'!U59</f>
        <v>4579741</v>
      </c>
      <c r="G53" s="1">
        <f>'IS 2025'!U60</f>
        <v>6609074.7340000002</v>
      </c>
      <c r="H53" s="1">
        <f>'IS 2026'!U59</f>
        <v>7578090</v>
      </c>
      <c r="I53" s="1">
        <f>'IS 2026'!U59</f>
        <v>7578090</v>
      </c>
      <c r="J53" s="194">
        <f>'IS 2028'!U57</f>
        <v>11855325</v>
      </c>
      <c r="K53" s="1"/>
    </row>
    <row r="54" spans="2:11" x14ac:dyDescent="0.3">
      <c r="B54" s="4" t="s">
        <v>22</v>
      </c>
      <c r="D54" s="5"/>
      <c r="F54" s="195">
        <f>F53/F44</f>
        <v>0.94802147286569771</v>
      </c>
      <c r="G54" s="19">
        <f>F53/F44</f>
        <v>0.94802147286569771</v>
      </c>
      <c r="H54" s="19">
        <f>F53/F44</f>
        <v>0.94802147286569771</v>
      </c>
      <c r="I54" s="19">
        <f>I53/I44</f>
        <v>0.67128862321915306</v>
      </c>
      <c r="J54" s="196">
        <f>J53/J44</f>
        <v>0.93076565250928878</v>
      </c>
      <c r="K54" s="19"/>
    </row>
    <row r="55" spans="2:11" x14ac:dyDescent="0.3">
      <c r="B55" s="4" t="s">
        <v>11</v>
      </c>
      <c r="D55" s="5"/>
      <c r="F55" s="18">
        <f>'IS 2024'!U60</f>
        <v>-20532</v>
      </c>
      <c r="G55" s="1">
        <f>'IS 2025'!U61</f>
        <v>-17800</v>
      </c>
      <c r="H55" s="1">
        <f>'IS 2026'!U60</f>
        <v>-21149</v>
      </c>
      <c r="I55" s="1">
        <f>'IS 2027'!U58</f>
        <v>-21537</v>
      </c>
      <c r="J55" s="194">
        <f>'IS 2028'!U58</f>
        <v>-21292</v>
      </c>
      <c r="K55" s="1"/>
    </row>
    <row r="56" spans="2:11" x14ac:dyDescent="0.3">
      <c r="B56" s="4" t="s">
        <v>12</v>
      </c>
      <c r="D56" s="5"/>
      <c r="F56" s="18">
        <f>'IS 2024'!U61</f>
        <v>4559209</v>
      </c>
      <c r="G56" s="1">
        <f>'IS 2025'!U62</f>
        <v>6591274.7340000002</v>
      </c>
      <c r="H56" s="1">
        <f>'IS 2026'!U61</f>
        <v>7588139</v>
      </c>
      <c r="I56" s="1">
        <f>'IS 2027'!U59</f>
        <v>10444483</v>
      </c>
      <c r="J56" s="194">
        <f>'IS 2028'!U59</f>
        <v>11834033</v>
      </c>
      <c r="K56" s="1"/>
    </row>
    <row r="57" spans="2:11" x14ac:dyDescent="0.3">
      <c r="B57" s="4" t="s">
        <v>13</v>
      </c>
      <c r="D57" s="5"/>
      <c r="F57" s="18">
        <f>'IS 2024'!U62</f>
        <v>-1098002.4000000001</v>
      </c>
      <c r="G57" s="1">
        <f>'IS 2025'!U63</f>
        <v>-613644</v>
      </c>
      <c r="H57" s="1">
        <f>'IS 2026'!U62</f>
        <v>-104689.20000000001</v>
      </c>
      <c r="I57" s="1">
        <f>'IS 2027'!U60</f>
        <v>0</v>
      </c>
      <c r="J57" s="194">
        <f>'IS 2028'!U60</f>
        <v>0</v>
      </c>
      <c r="K57" s="1"/>
    </row>
    <row r="58" spans="2:11" x14ac:dyDescent="0.3">
      <c r="B58" s="4" t="s">
        <v>14</v>
      </c>
      <c r="D58" s="5"/>
      <c r="F58" s="18">
        <f>'IS 2024'!U63</f>
        <v>4579741</v>
      </c>
      <c r="G58" s="1">
        <f>'IS 2025'!U64</f>
        <v>6609074.7340000002</v>
      </c>
      <c r="H58" s="1">
        <f>'IS 2026'!U63</f>
        <v>7578090</v>
      </c>
      <c r="I58" s="1">
        <f>'IS 2027'!U61</f>
        <v>10466020</v>
      </c>
      <c r="J58" s="194">
        <f>'IS 2028'!U61</f>
        <v>11855325</v>
      </c>
      <c r="K58" s="1"/>
    </row>
    <row r="59" spans="2:11" x14ac:dyDescent="0.3">
      <c r="B59" s="4" t="s">
        <v>15</v>
      </c>
      <c r="D59" s="5"/>
      <c r="F59" s="18">
        <f>'IS 2024'!U64</f>
        <v>-915948.2</v>
      </c>
      <c r="G59" s="1">
        <f>'IS 2025'!U65</f>
        <v>-1321814.9468</v>
      </c>
      <c r="H59" s="1">
        <f>'IS 2026'!U64</f>
        <v>-1515618</v>
      </c>
      <c r="I59" s="1">
        <f>'IS 2027'!U62</f>
        <v>-2093204.0000000005</v>
      </c>
      <c r="J59" s="194">
        <f>'IS 2028'!U62</f>
        <v>-2371065.0000000005</v>
      </c>
      <c r="K59" s="1"/>
    </row>
    <row r="60" spans="2:11" x14ac:dyDescent="0.3">
      <c r="B60" s="4" t="s">
        <v>16</v>
      </c>
      <c r="D60" s="5"/>
      <c r="F60" s="18">
        <f>'IS 2024'!U65</f>
        <v>3663792.8</v>
      </c>
      <c r="G60" s="1">
        <f>'IS 2025'!U66</f>
        <v>5287259.7871999992</v>
      </c>
      <c r="H60" s="1">
        <f>'IS 2026'!U65</f>
        <v>6062472</v>
      </c>
      <c r="I60" s="1">
        <f>'IS 2027'!U63</f>
        <v>8372816.0000000009</v>
      </c>
      <c r="J60" s="194">
        <f>'IS 2028'!U63</f>
        <v>9484260.0000000019</v>
      </c>
      <c r="K60" s="1"/>
    </row>
    <row r="61" spans="2:11" x14ac:dyDescent="0.3">
      <c r="B61" s="4" t="s">
        <v>17</v>
      </c>
      <c r="D61" s="5"/>
      <c r="F61" s="195">
        <f>F60/F44</f>
        <v>0.75841717829255817</v>
      </c>
      <c r="G61" s="19">
        <f>G60/G44</f>
        <v>0.77071794702190144</v>
      </c>
      <c r="H61" s="19">
        <f>H60/H44</f>
        <v>0.79756880172709799</v>
      </c>
      <c r="I61" s="19">
        <f>I60/I44</f>
        <v>0.74168769770579346</v>
      </c>
      <c r="J61" s="196">
        <f>J60/J44</f>
        <v>0.74461252200743111</v>
      </c>
      <c r="K61" s="19"/>
    </row>
    <row r="62" spans="2:11" x14ac:dyDescent="0.3">
      <c r="B62" s="4" t="s">
        <v>148</v>
      </c>
      <c r="D62" s="5"/>
      <c r="F62" s="18">
        <f>F60-F50-F55</f>
        <v>3783324.8</v>
      </c>
      <c r="G62" s="1">
        <f>G60-G50-G55</f>
        <v>5404059.7871999992</v>
      </c>
      <c r="H62" s="1">
        <f>H60-H50-H55</f>
        <v>6182621</v>
      </c>
      <c r="I62" s="1">
        <f>I60-I50-I55</f>
        <v>8493353</v>
      </c>
      <c r="J62" s="194">
        <f>J60-J50-J55</f>
        <v>9604552.0000000019</v>
      </c>
      <c r="K62" s="1"/>
    </row>
    <row r="63" spans="2:11" x14ac:dyDescent="0.3">
      <c r="B63" s="6" t="s">
        <v>147</v>
      </c>
      <c r="C63" s="343"/>
      <c r="D63" s="7"/>
      <c r="F63" s="197">
        <f>F62-F48-F49-F50</f>
        <v>3958500.8</v>
      </c>
      <c r="G63" s="20">
        <f>G62-G48-G49-G50</f>
        <v>5579235.7871999992</v>
      </c>
      <c r="H63" s="20">
        <f>H62-H48-H49-H50</f>
        <v>6849797</v>
      </c>
      <c r="I63" s="20">
        <f>I62-I48-I49-I50</f>
        <v>9466431</v>
      </c>
      <c r="J63" s="198">
        <f>J62-J48-J49-J50</f>
        <v>10577630.000000002</v>
      </c>
      <c r="K63" s="1"/>
    </row>
  </sheetData>
  <mergeCells count="10">
    <mergeCell ref="F6:Q6"/>
    <mergeCell ref="L42:Q42"/>
    <mergeCell ref="R42:V42"/>
    <mergeCell ref="F24:Q24"/>
    <mergeCell ref="F16:Q16"/>
    <mergeCell ref="D27:E27"/>
    <mergeCell ref="D30:E30"/>
    <mergeCell ref="D33:E33"/>
    <mergeCell ref="D36:E36"/>
    <mergeCell ref="D39:E39"/>
  </mergeCells>
  <conditionalFormatting sqref="F40:Q40">
    <cfRule type="cellIs" dxfId="1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BBD8-C99D-49C4-9883-A147560EF4BD}">
  <sheetPr codeName="Sheet26"/>
  <dimension ref="A1:AP81"/>
  <sheetViews>
    <sheetView showGridLines="0" workbookViewId="0">
      <selection activeCell="C12" sqref="C12:C16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8.88671875" style="136"/>
    <col min="8" max="8" width="9.5546875" bestFit="1" customWidth="1"/>
    <col min="9" max="9" width="9.88671875" customWidth="1"/>
    <col min="10" max="10" width="9.5546875" bestFit="1" customWidth="1"/>
    <col min="11" max="11" width="10.5546875" bestFit="1" customWidth="1"/>
    <col min="12" max="12" width="9.6640625" bestFit="1" customWidth="1"/>
    <col min="13" max="13" width="9.5546875" bestFit="1" customWidth="1"/>
    <col min="14" max="14" width="9.5546875" customWidth="1"/>
    <col min="15" max="19" width="9.5546875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144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0"/>
      <c r="B5" s="153" t="s">
        <v>176</v>
      </c>
      <c r="C5" s="150"/>
      <c r="D5" s="150"/>
      <c r="E5" s="150"/>
      <c r="F5" s="208">
        <v>2027</v>
      </c>
      <c r="G5" s="208">
        <v>2027</v>
      </c>
      <c r="H5" s="208">
        <v>2027</v>
      </c>
      <c r="I5" s="208">
        <v>2027</v>
      </c>
      <c r="J5" s="208">
        <v>2027</v>
      </c>
      <c r="K5" s="208">
        <v>2027</v>
      </c>
      <c r="L5" s="208">
        <v>2027</v>
      </c>
      <c r="M5" s="208">
        <v>2027</v>
      </c>
      <c r="N5" s="208">
        <v>2027</v>
      </c>
      <c r="O5" s="208">
        <v>2027</v>
      </c>
      <c r="P5" s="208">
        <v>2027</v>
      </c>
      <c r="Q5" s="208">
        <v>2027</v>
      </c>
      <c r="R5" s="208">
        <v>2028</v>
      </c>
      <c r="S5" s="208">
        <v>2028</v>
      </c>
      <c r="T5" s="208">
        <v>2028</v>
      </c>
      <c r="U5" s="181" t="s">
        <v>78</v>
      </c>
    </row>
    <row r="6" spans="1:42" ht="15" thickBot="1" x14ac:dyDescent="0.35">
      <c r="A6" s="152"/>
      <c r="B6" s="160" t="s">
        <v>70</v>
      </c>
      <c r="C6" s="152"/>
      <c r="D6" s="152"/>
      <c r="E6" s="152"/>
      <c r="F6" s="207" t="s">
        <v>32</v>
      </c>
      <c r="G6" s="207" t="s">
        <v>33</v>
      </c>
      <c r="H6" s="207" t="s">
        <v>34</v>
      </c>
      <c r="I6" s="207" t="s">
        <v>35</v>
      </c>
      <c r="J6" s="207" t="s">
        <v>36</v>
      </c>
      <c r="K6" s="207" t="s">
        <v>37</v>
      </c>
      <c r="L6" s="207" t="s">
        <v>38</v>
      </c>
      <c r="M6" s="207" t="s">
        <v>39</v>
      </c>
      <c r="N6" s="207" t="s">
        <v>40</v>
      </c>
      <c r="O6" s="207" t="s">
        <v>41</v>
      </c>
      <c r="P6" s="207" t="s">
        <v>42</v>
      </c>
      <c r="Q6" s="207" t="s">
        <v>43</v>
      </c>
      <c r="R6" s="207" t="s">
        <v>32</v>
      </c>
      <c r="S6" s="207" t="s">
        <v>33</v>
      </c>
      <c r="T6" s="207" t="s">
        <v>34</v>
      </c>
      <c r="U6" s="166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309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337</v>
      </c>
      <c r="D12" s="13"/>
      <c r="E12" s="13"/>
      <c r="F12" s="158">
        <f>'2027 Sales Summary'!F27</f>
        <v>18630</v>
      </c>
      <c r="G12" s="158">
        <f>'2027 Sales Summary'!G27</f>
        <v>19170</v>
      </c>
      <c r="H12" s="158">
        <f>'2027 Sales Summary'!H27</f>
        <v>19305</v>
      </c>
      <c r="I12" s="158">
        <f>'2027 Sales Summary'!I27</f>
        <v>19440</v>
      </c>
      <c r="J12" s="158">
        <f>'2027 Sales Summary'!J27</f>
        <v>19575</v>
      </c>
      <c r="K12" s="158">
        <f>'2027 Sales Summary'!K27</f>
        <v>19710</v>
      </c>
      <c r="L12" s="158">
        <f>'2027 Sales Summary'!L27</f>
        <v>19845</v>
      </c>
      <c r="M12" s="158">
        <f>'2027 Sales Summary'!M27</f>
        <v>20250</v>
      </c>
      <c r="N12" s="158">
        <f>'2027 Sales Summary'!N27</f>
        <v>20790</v>
      </c>
      <c r="O12" s="158">
        <f>'2027 Sales Summary'!O27</f>
        <v>20925</v>
      </c>
      <c r="P12" s="158">
        <f>'2027 Sales Summary'!P27</f>
        <v>20250</v>
      </c>
      <c r="Q12" s="158">
        <f>'2027 Sales Summary'!Q27</f>
        <v>21060</v>
      </c>
      <c r="R12" s="158">
        <f>'IS 2028'!F12</f>
        <v>21195</v>
      </c>
      <c r="S12" s="158">
        <f>'IS 2028'!G12</f>
        <v>21330</v>
      </c>
      <c r="T12" s="158">
        <f>'IS 2028'!H12</f>
        <v>21870</v>
      </c>
      <c r="U12" s="13"/>
    </row>
    <row r="13" spans="1:42" x14ac:dyDescent="0.3">
      <c r="A13" s="13"/>
      <c r="B13" s="13"/>
      <c r="C13" s="145" t="s">
        <v>338</v>
      </c>
      <c r="D13" s="13"/>
      <c r="E13" s="13"/>
      <c r="F13" s="158">
        <f>'2027 Sales Summary'!F30</f>
        <v>26220</v>
      </c>
      <c r="G13" s="158">
        <f>'2027 Sales Summary'!G30</f>
        <v>26980</v>
      </c>
      <c r="H13" s="158">
        <f>'2027 Sales Summary'!H30</f>
        <v>27170</v>
      </c>
      <c r="I13" s="158">
        <f>'2027 Sales Summary'!I30</f>
        <v>27360</v>
      </c>
      <c r="J13" s="158">
        <f>'2027 Sales Summary'!J30</f>
        <v>27550</v>
      </c>
      <c r="K13" s="158">
        <f>'2027 Sales Summary'!K30</f>
        <v>27740</v>
      </c>
      <c r="L13" s="158">
        <f>'2027 Sales Summary'!L30</f>
        <v>27930</v>
      </c>
      <c r="M13" s="158">
        <f>'2027 Sales Summary'!M30</f>
        <v>28500</v>
      </c>
      <c r="N13" s="158">
        <f>'2027 Sales Summary'!N30</f>
        <v>29260</v>
      </c>
      <c r="O13" s="158">
        <f>'2027 Sales Summary'!O30</f>
        <v>29450</v>
      </c>
      <c r="P13" s="158">
        <f>'2027 Sales Summary'!P30</f>
        <v>28500</v>
      </c>
      <c r="Q13" s="158">
        <f>'2027 Sales Summary'!Q30</f>
        <v>29640</v>
      </c>
      <c r="R13" s="158">
        <f>'IS 2028'!F13</f>
        <v>29830</v>
      </c>
      <c r="S13" s="158">
        <f>'IS 2028'!G13</f>
        <v>30020</v>
      </c>
      <c r="T13" s="158">
        <f>'IS 2028'!H13</f>
        <v>30780</v>
      </c>
      <c r="U13" s="13"/>
    </row>
    <row r="14" spans="1:42" x14ac:dyDescent="0.3">
      <c r="A14" s="13"/>
      <c r="B14" s="13"/>
      <c r="C14" s="145" t="s">
        <v>339</v>
      </c>
      <c r="D14" s="13"/>
      <c r="E14" s="13"/>
      <c r="F14" s="158">
        <f>'2027 Sales Summary'!F33</f>
        <v>73405</v>
      </c>
      <c r="G14" s="158">
        <f>'2027 Sales Summary'!G33</f>
        <v>74995</v>
      </c>
      <c r="H14" s="158">
        <f>'2027 Sales Summary'!H33</f>
        <v>75525</v>
      </c>
      <c r="I14" s="158">
        <f>'2027 Sales Summary'!I33</f>
        <v>76055</v>
      </c>
      <c r="J14" s="158">
        <f>'2027 Sales Summary'!J33</f>
        <v>76585</v>
      </c>
      <c r="K14" s="158">
        <f>'2027 Sales Summary'!K33</f>
        <v>77115</v>
      </c>
      <c r="L14" s="158">
        <f>'2027 Sales Summary'!L33</f>
        <v>77645</v>
      </c>
      <c r="M14" s="158">
        <f>'2027 Sales Summary'!M33</f>
        <v>79500</v>
      </c>
      <c r="N14" s="158">
        <f>'2027 Sales Summary'!N33</f>
        <v>80295</v>
      </c>
      <c r="O14" s="158">
        <f>'2027 Sales Summary'!O33</f>
        <v>80825</v>
      </c>
      <c r="P14" s="158">
        <f>'2027 Sales Summary'!P33</f>
        <v>82150</v>
      </c>
      <c r="Q14" s="158">
        <f>'2027 Sales Summary'!Q33</f>
        <v>82415</v>
      </c>
      <c r="R14" s="158">
        <f>'IS 2028'!F14</f>
        <v>82945</v>
      </c>
      <c r="S14" s="158">
        <f>'IS 2028'!G14</f>
        <v>83475</v>
      </c>
      <c r="T14" s="158">
        <f>'IS 2028'!H14</f>
        <v>85595</v>
      </c>
      <c r="U14" s="13"/>
    </row>
    <row r="15" spans="1:42" x14ac:dyDescent="0.3">
      <c r="A15" s="13"/>
      <c r="B15" s="13"/>
      <c r="C15" s="145" t="s">
        <v>340</v>
      </c>
      <c r="D15" s="13"/>
      <c r="E15" s="13"/>
      <c r="F15" s="158">
        <f>'2027 Sales Summary'!F36</f>
        <v>245100</v>
      </c>
      <c r="G15" s="158">
        <f>'2027 Sales Summary'!G36</f>
        <v>251180</v>
      </c>
      <c r="H15" s="158">
        <f>'2027 Sales Summary'!H36</f>
        <v>253080</v>
      </c>
      <c r="I15" s="158">
        <f>'2027 Sales Summary'!I36</f>
        <v>254600</v>
      </c>
      <c r="J15" s="158">
        <f>'2027 Sales Summary'!J36</f>
        <v>256500</v>
      </c>
      <c r="K15" s="158">
        <f>'2027 Sales Summary'!K36</f>
        <v>258020</v>
      </c>
      <c r="L15" s="158">
        <f>'2027 Sales Summary'!L36</f>
        <v>259920</v>
      </c>
      <c r="M15" s="158">
        <f>'2027 Sales Summary'!M36</f>
        <v>266000</v>
      </c>
      <c r="N15" s="158">
        <f>'2027 Sales Summary'!N36</f>
        <v>267520</v>
      </c>
      <c r="O15" s="158">
        <f>'2027 Sales Summary'!O36</f>
        <v>270180</v>
      </c>
      <c r="P15" s="158">
        <f>'2027 Sales Summary'!P36</f>
        <v>274360</v>
      </c>
      <c r="Q15" s="158">
        <f>'2027 Sales Summary'!Q36</f>
        <v>276260</v>
      </c>
      <c r="R15" s="158">
        <f>'IS 2028'!F15</f>
        <v>277780</v>
      </c>
      <c r="S15" s="158">
        <f>'IS 2028'!G15</f>
        <v>279680</v>
      </c>
      <c r="T15" s="158">
        <f>'IS 2028'!H15</f>
        <v>286520</v>
      </c>
      <c r="U15" s="13"/>
    </row>
    <row r="16" spans="1:42" x14ac:dyDescent="0.3">
      <c r="A16" s="13"/>
      <c r="B16" s="13"/>
      <c r="C16" s="145" t="s">
        <v>341</v>
      </c>
      <c r="D16" s="13"/>
      <c r="E16" s="13"/>
      <c r="F16" s="158">
        <f>'2027 Sales Summary'!F39</f>
        <v>519820</v>
      </c>
      <c r="G16" s="158">
        <f>'2027 Sales Summary'!G39</f>
        <v>532510</v>
      </c>
      <c r="H16" s="158">
        <f>'2027 Sales Summary'!H39</f>
        <v>536270</v>
      </c>
      <c r="I16" s="158">
        <f>'2027 Sales Summary'!I39</f>
        <v>540030</v>
      </c>
      <c r="J16" s="158">
        <f>'2027 Sales Summary'!J39</f>
        <v>543320</v>
      </c>
      <c r="K16" s="158">
        <f>'2027 Sales Summary'!K39</f>
        <v>547080</v>
      </c>
      <c r="L16" s="158">
        <f>'2027 Sales Summary'!L39</f>
        <v>550840</v>
      </c>
      <c r="M16" s="158">
        <f>'2027 Sales Summary'!M39</f>
        <v>565410</v>
      </c>
      <c r="N16" s="158">
        <f>'2027 Sales Summary'!N39</f>
        <v>569170</v>
      </c>
      <c r="O16" s="158">
        <f>'2027 Sales Summary'!O39</f>
        <v>572460</v>
      </c>
      <c r="P16" s="158">
        <f>'2027 Sales Summary'!P39</f>
        <v>581860</v>
      </c>
      <c r="Q16" s="158">
        <f>'2027 Sales Summary'!Q39</f>
        <v>585620</v>
      </c>
      <c r="R16" s="158">
        <f>'IS 2028'!F16</f>
        <v>588910</v>
      </c>
      <c r="S16" s="158">
        <f>'IS 2028'!G16</f>
        <v>592670</v>
      </c>
      <c r="T16" s="158">
        <f>'IS 2028'!H16</f>
        <v>607240</v>
      </c>
      <c r="U16" s="13"/>
    </row>
    <row r="17" spans="1:21" x14ac:dyDescent="0.3">
      <c r="A17" s="150"/>
      <c r="B17" s="150"/>
      <c r="C17" s="153" t="s">
        <v>119</v>
      </c>
      <c r="D17" s="150"/>
      <c r="E17" s="150"/>
      <c r="F17" s="151">
        <f t="shared" ref="F17:H17" si="0">SUM(F12:F16)</f>
        <v>883175</v>
      </c>
      <c r="G17" s="151">
        <f t="shared" si="0"/>
        <v>904835</v>
      </c>
      <c r="H17" s="151">
        <f t="shared" si="0"/>
        <v>911350</v>
      </c>
      <c r="I17" s="151">
        <f>SUM(I12:I16)</f>
        <v>917485</v>
      </c>
      <c r="J17" s="151">
        <f t="shared" ref="J17:T17" si="1">SUM(J12:J16)</f>
        <v>923530</v>
      </c>
      <c r="K17" s="151">
        <f t="shared" si="1"/>
        <v>929665</v>
      </c>
      <c r="L17" s="151">
        <f t="shared" si="1"/>
        <v>936180</v>
      </c>
      <c r="M17" s="151">
        <f t="shared" si="1"/>
        <v>959660</v>
      </c>
      <c r="N17" s="151">
        <f t="shared" si="1"/>
        <v>967035</v>
      </c>
      <c r="O17" s="151">
        <f t="shared" si="1"/>
        <v>973840</v>
      </c>
      <c r="P17" s="151">
        <f t="shared" si="1"/>
        <v>987120</v>
      </c>
      <c r="Q17" s="151">
        <f t="shared" si="1"/>
        <v>994995</v>
      </c>
      <c r="R17" s="151">
        <f t="shared" si="1"/>
        <v>1000660</v>
      </c>
      <c r="S17" s="151">
        <f t="shared" si="1"/>
        <v>1007175</v>
      </c>
      <c r="T17" s="151">
        <f t="shared" si="1"/>
        <v>1032005</v>
      </c>
      <c r="U17" s="162">
        <f>SUM(F17:Q17)</f>
        <v>11288870</v>
      </c>
    </row>
    <row r="18" spans="1:21" x14ac:dyDescent="0.3">
      <c r="A18" s="152"/>
      <c r="B18" s="152"/>
      <c r="C18" s="160" t="s">
        <v>120</v>
      </c>
      <c r="D18" s="152"/>
      <c r="E18" s="152"/>
      <c r="F18" s="161">
        <f>SUM(F19:F24)</f>
        <v>-32544</v>
      </c>
      <c r="G18" s="161">
        <f t="shared" ref="G18:T18" si="2">SUM(G19:G24)</f>
        <v>-32544</v>
      </c>
      <c r="H18" s="161">
        <f t="shared" si="2"/>
        <v>-32544</v>
      </c>
      <c r="I18" s="161">
        <f t="shared" si="2"/>
        <v>-32544</v>
      </c>
      <c r="J18" s="161">
        <f t="shared" si="2"/>
        <v>-32544</v>
      </c>
      <c r="K18" s="161">
        <f t="shared" si="2"/>
        <v>-32544</v>
      </c>
      <c r="L18" s="161">
        <f t="shared" si="2"/>
        <v>-32544</v>
      </c>
      <c r="M18" s="161">
        <f t="shared" si="2"/>
        <v>-32544</v>
      </c>
      <c r="N18" s="161">
        <f t="shared" si="2"/>
        <v>-32544</v>
      </c>
      <c r="O18" s="161">
        <f t="shared" si="2"/>
        <v>-32544</v>
      </c>
      <c r="P18" s="161">
        <f t="shared" si="2"/>
        <v>-32544</v>
      </c>
      <c r="Q18" s="161">
        <f t="shared" si="2"/>
        <v>-32544</v>
      </c>
      <c r="R18" s="161">
        <f t="shared" si="2"/>
        <v>-32544</v>
      </c>
      <c r="S18" s="161">
        <f t="shared" si="2"/>
        <v>-32544</v>
      </c>
      <c r="T18" s="161">
        <f t="shared" si="2"/>
        <v>-32544</v>
      </c>
      <c r="U18" s="156">
        <f t="shared" ref="U18:U63" si="3">SUM(F18:Q18)</f>
        <v>-390528</v>
      </c>
    </row>
    <row r="19" spans="1:21" x14ac:dyDescent="0.3">
      <c r="A19" s="13"/>
      <c r="B19" s="13"/>
      <c r="C19" s="145" t="s">
        <v>204</v>
      </c>
      <c r="D19" s="13"/>
      <c r="E19" s="13"/>
      <c r="F19" s="142">
        <v>-31654</v>
      </c>
      <c r="G19" s="142">
        <v>-31654</v>
      </c>
      <c r="H19" s="142">
        <v>-31654</v>
      </c>
      <c r="I19" s="142">
        <v>-31654</v>
      </c>
      <c r="J19" s="142">
        <v>-31654</v>
      </c>
      <c r="K19" s="142">
        <v>-31654</v>
      </c>
      <c r="L19" s="142">
        <v>-31654</v>
      </c>
      <c r="M19" s="142">
        <v>-31654</v>
      </c>
      <c r="N19" s="142">
        <v>-31654</v>
      </c>
      <c r="O19" s="142">
        <v>-31654</v>
      </c>
      <c r="P19" s="142">
        <v>-31654</v>
      </c>
      <c r="Q19" s="142">
        <v>-31654</v>
      </c>
      <c r="R19" s="142">
        <v>-31654</v>
      </c>
      <c r="S19" s="142">
        <v>-31654</v>
      </c>
      <c r="T19" s="142">
        <v>-31654</v>
      </c>
      <c r="U19" s="158">
        <f t="shared" si="3"/>
        <v>-379848</v>
      </c>
    </row>
    <row r="20" spans="1:21" x14ac:dyDescent="0.3">
      <c r="A20" s="13"/>
      <c r="B20" s="13"/>
      <c r="C20" s="145" t="s">
        <v>325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>
        <v>-700</v>
      </c>
      <c r="S20" s="143">
        <v>-700</v>
      </c>
      <c r="T20" s="143">
        <v>-700</v>
      </c>
      <c r="U20" s="158">
        <f t="shared" si="3"/>
        <v>-8400</v>
      </c>
    </row>
    <row r="21" spans="1:21" x14ac:dyDescent="0.3">
      <c r="A21" s="13"/>
      <c r="B21" s="13"/>
      <c r="C21" s="145" t="s">
        <v>321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>
        <v>-125</v>
      </c>
      <c r="S21" s="143">
        <v>-125</v>
      </c>
      <c r="T21" s="143">
        <v>-125</v>
      </c>
      <c r="U21" s="158">
        <f t="shared" si="3"/>
        <v>-1500</v>
      </c>
    </row>
    <row r="22" spans="1:21" x14ac:dyDescent="0.3">
      <c r="A22" s="13"/>
      <c r="B22" s="13"/>
      <c r="C22" s="145" t="s">
        <v>322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>
        <v>-65</v>
      </c>
      <c r="S22" s="143">
        <v>-65</v>
      </c>
      <c r="T22" s="143">
        <v>-65</v>
      </c>
      <c r="U22" s="158">
        <f t="shared" si="3"/>
        <v>-780</v>
      </c>
    </row>
    <row r="23" spans="1:21" x14ac:dyDescent="0.3">
      <c r="A23" s="13"/>
      <c r="B23" s="13"/>
      <c r="C23" s="145" t="s">
        <v>208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209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3"/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63"/>
      <c r="B26" s="163"/>
      <c r="C26" s="164" t="s">
        <v>4</v>
      </c>
      <c r="D26" s="163"/>
      <c r="E26" s="163"/>
      <c r="F26" s="165">
        <f>SUM(F17+F18)</f>
        <v>850631</v>
      </c>
      <c r="G26" s="165">
        <f t="shared" ref="G26:T26" si="4">SUM(G17+G18)</f>
        <v>872291</v>
      </c>
      <c r="H26" s="165">
        <f t="shared" si="4"/>
        <v>878806</v>
      </c>
      <c r="I26" s="165">
        <f t="shared" si="4"/>
        <v>884941</v>
      </c>
      <c r="J26" s="165">
        <f t="shared" si="4"/>
        <v>890986</v>
      </c>
      <c r="K26" s="165">
        <f t="shared" si="4"/>
        <v>897121</v>
      </c>
      <c r="L26" s="165">
        <f t="shared" si="4"/>
        <v>903636</v>
      </c>
      <c r="M26" s="165">
        <f t="shared" si="4"/>
        <v>927116</v>
      </c>
      <c r="N26" s="165">
        <f t="shared" si="4"/>
        <v>934491</v>
      </c>
      <c r="O26" s="165">
        <f t="shared" si="4"/>
        <v>941296</v>
      </c>
      <c r="P26" s="165">
        <f t="shared" si="4"/>
        <v>954576</v>
      </c>
      <c r="Q26" s="165">
        <f t="shared" si="4"/>
        <v>962451</v>
      </c>
      <c r="R26" s="165">
        <f t="shared" si="4"/>
        <v>968116</v>
      </c>
      <c r="S26" s="165">
        <f t="shared" si="4"/>
        <v>974631</v>
      </c>
      <c r="T26" s="165">
        <f t="shared" si="4"/>
        <v>999461</v>
      </c>
      <c r="U26" s="307">
        <f t="shared" si="3"/>
        <v>10898342</v>
      </c>
    </row>
    <row r="27" spans="1:21" ht="15" customHeight="1" x14ac:dyDescent="0.3">
      <c r="A27" s="13"/>
      <c r="B27" s="13"/>
      <c r="C27" s="143"/>
      <c r="D27" s="13"/>
      <c r="E27" s="1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0"/>
    </row>
    <row r="28" spans="1:21" ht="15" customHeight="1" x14ac:dyDescent="0.3">
      <c r="A28" s="13"/>
      <c r="B28" s="13"/>
      <c r="C28" s="144" t="s">
        <v>6</v>
      </c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ht="15" customHeight="1" x14ac:dyDescent="0.3">
      <c r="A29" s="13"/>
      <c r="B29" s="13"/>
      <c r="C29" s="145" t="s">
        <v>314</v>
      </c>
      <c r="D29" s="13"/>
      <c r="E29" s="13"/>
      <c r="F29" s="158">
        <v>-3493</v>
      </c>
      <c r="G29" s="158">
        <v>-3493</v>
      </c>
      <c r="H29" s="158">
        <v>-3493</v>
      </c>
      <c r="I29" s="158">
        <v>-3493</v>
      </c>
      <c r="J29" s="158">
        <v>-3493</v>
      </c>
      <c r="K29" s="158">
        <v>-3493</v>
      </c>
      <c r="L29" s="158">
        <v>-3493</v>
      </c>
      <c r="M29" s="158">
        <v>-3493</v>
      </c>
      <c r="N29" s="158">
        <v>-3493</v>
      </c>
      <c r="O29" s="158">
        <v>-3493</v>
      </c>
      <c r="P29" s="158">
        <v>-3493</v>
      </c>
      <c r="Q29" s="158">
        <v>-3493</v>
      </c>
      <c r="R29" s="158">
        <v>-3493</v>
      </c>
      <c r="S29" s="158">
        <v>-3493</v>
      </c>
      <c r="T29" s="158">
        <v>-3493</v>
      </c>
      <c r="U29" s="158">
        <f t="shared" si="3"/>
        <v>-41916</v>
      </c>
    </row>
    <row r="30" spans="1:21" ht="15" customHeight="1" x14ac:dyDescent="0.3">
      <c r="A30" s="13"/>
      <c r="B30" s="13"/>
      <c r="C30" s="145" t="s">
        <v>315</v>
      </c>
      <c r="D30" s="13"/>
      <c r="E30" s="13"/>
      <c r="F30" s="158">
        <v>-13493</v>
      </c>
      <c r="G30" s="158">
        <v>-13493</v>
      </c>
      <c r="H30" s="158">
        <v>-13493</v>
      </c>
      <c r="I30" s="158">
        <v>-13493</v>
      </c>
      <c r="J30" s="158">
        <v>-13493</v>
      </c>
      <c r="K30" s="158">
        <v>-13493</v>
      </c>
      <c r="L30" s="158">
        <v>-13493</v>
      </c>
      <c r="M30" s="158">
        <v>-13493</v>
      </c>
      <c r="N30" s="158">
        <v>-13493</v>
      </c>
      <c r="O30" s="158">
        <v>-13493</v>
      </c>
      <c r="P30" s="158">
        <v>-13493</v>
      </c>
      <c r="Q30" s="158">
        <v>-13493</v>
      </c>
      <c r="R30" s="380">
        <v>-3400</v>
      </c>
      <c r="S30" s="380">
        <v>-3400</v>
      </c>
      <c r="T30" s="380">
        <v>-3400</v>
      </c>
      <c r="U30" s="158">
        <f t="shared" si="3"/>
        <v>-161916</v>
      </c>
    </row>
    <row r="31" spans="1:21" ht="15" customHeight="1" x14ac:dyDescent="0.3">
      <c r="A31" s="13"/>
      <c r="B31" s="13"/>
      <c r="C31" s="145" t="s">
        <v>287</v>
      </c>
      <c r="D31" s="13"/>
      <c r="E31" s="13"/>
      <c r="F31" s="158">
        <v>-493</v>
      </c>
      <c r="G31" s="158">
        <v>-493</v>
      </c>
      <c r="H31" s="158">
        <v>-493</v>
      </c>
      <c r="I31" s="158">
        <v>-493</v>
      </c>
      <c r="J31" s="158">
        <v>-493</v>
      </c>
      <c r="K31" s="158">
        <v>-493</v>
      </c>
      <c r="L31" s="158">
        <v>-493</v>
      </c>
      <c r="M31" s="158">
        <v>-493</v>
      </c>
      <c r="N31" s="158">
        <v>-493</v>
      </c>
      <c r="O31" s="158">
        <v>-493</v>
      </c>
      <c r="P31" s="158">
        <v>-493</v>
      </c>
      <c r="Q31" s="158">
        <v>-493</v>
      </c>
      <c r="R31" s="306" t="s">
        <v>146</v>
      </c>
      <c r="S31" s="306" t="s">
        <v>146</v>
      </c>
      <c r="T31" s="306" t="s">
        <v>146</v>
      </c>
      <c r="U31" s="158">
        <f t="shared" si="3"/>
        <v>-5916</v>
      </c>
    </row>
    <row r="32" spans="1:21" ht="15" customHeight="1" x14ac:dyDescent="0.3">
      <c r="A32" s="13"/>
      <c r="B32" s="13"/>
      <c r="C32" s="145" t="s">
        <v>323</v>
      </c>
      <c r="D32" s="13"/>
      <c r="E32" s="13"/>
      <c r="F32" s="380">
        <v>-11234</v>
      </c>
      <c r="G32" s="380">
        <v>-11234</v>
      </c>
      <c r="H32" s="380">
        <v>-11234</v>
      </c>
      <c r="I32" s="380">
        <v>-11234</v>
      </c>
      <c r="J32" s="380">
        <v>-11234</v>
      </c>
      <c r="K32" s="380">
        <v>-11234</v>
      </c>
      <c r="L32" s="380">
        <v>-11234</v>
      </c>
      <c r="M32" s="380">
        <v>-11234</v>
      </c>
      <c r="N32" s="380">
        <v>-11234</v>
      </c>
      <c r="O32" s="380">
        <v>-11234</v>
      </c>
      <c r="P32" s="380">
        <v>-11234</v>
      </c>
      <c r="Q32" s="306" t="s">
        <v>146</v>
      </c>
      <c r="R32" s="306" t="s">
        <v>146</v>
      </c>
      <c r="S32" s="306" t="s">
        <v>146</v>
      </c>
      <c r="T32" s="306" t="s">
        <v>146</v>
      </c>
      <c r="U32" s="158">
        <f t="shared" si="3"/>
        <v>-123574</v>
      </c>
    </row>
    <row r="33" spans="1:21" ht="15" customHeight="1" x14ac:dyDescent="0.3">
      <c r="A33" s="13"/>
      <c r="B33" s="13"/>
      <c r="C33" s="145" t="s">
        <v>124</v>
      </c>
      <c r="D33" s="13"/>
      <c r="E33" s="13"/>
      <c r="F33" s="159" t="s">
        <v>146</v>
      </c>
      <c r="G33" s="159" t="s">
        <v>146</v>
      </c>
      <c r="H33" s="159" t="s">
        <v>146</v>
      </c>
      <c r="I33" s="159" t="s">
        <v>146</v>
      </c>
      <c r="J33" s="159" t="s">
        <v>146</v>
      </c>
      <c r="K33" s="159" t="s">
        <v>146</v>
      </c>
      <c r="L33" s="159" t="s">
        <v>146</v>
      </c>
      <c r="M33" s="159" t="s">
        <v>146</v>
      </c>
      <c r="N33" s="159" t="s">
        <v>146</v>
      </c>
      <c r="O33" s="159" t="s">
        <v>146</v>
      </c>
      <c r="P33" s="159" t="s">
        <v>146</v>
      </c>
      <c r="Q33" s="159" t="s">
        <v>146</v>
      </c>
      <c r="R33" s="159" t="s">
        <v>146</v>
      </c>
      <c r="S33" s="159" t="s">
        <v>146</v>
      </c>
      <c r="T33" s="159" t="s">
        <v>146</v>
      </c>
      <c r="U33" s="140"/>
    </row>
    <row r="34" spans="1:21" ht="15" customHeight="1" x14ac:dyDescent="0.3">
      <c r="A34" s="13"/>
      <c r="B34" s="13"/>
      <c r="C34" s="145" t="s">
        <v>125</v>
      </c>
      <c r="D34" s="13"/>
      <c r="E34" s="13"/>
      <c r="F34" s="159" t="s">
        <v>146</v>
      </c>
      <c r="G34" s="159" t="s">
        <v>146</v>
      </c>
      <c r="H34" s="159" t="s">
        <v>146</v>
      </c>
      <c r="I34" s="159" t="s">
        <v>146</v>
      </c>
      <c r="J34" s="159" t="s">
        <v>146</v>
      </c>
      <c r="K34" s="159" t="s">
        <v>146</v>
      </c>
      <c r="L34" s="159" t="s">
        <v>146</v>
      </c>
      <c r="M34" s="159" t="s">
        <v>146</v>
      </c>
      <c r="N34" s="159" t="s">
        <v>146</v>
      </c>
      <c r="O34" s="159" t="s">
        <v>146</v>
      </c>
      <c r="P34" s="159" t="s">
        <v>146</v>
      </c>
      <c r="Q34" s="159" t="s">
        <v>146</v>
      </c>
      <c r="R34" s="159" t="s">
        <v>146</v>
      </c>
      <c r="S34" s="159" t="s">
        <v>146</v>
      </c>
      <c r="T34" s="159" t="s">
        <v>146</v>
      </c>
      <c r="U34" s="140"/>
    </row>
    <row r="35" spans="1:21" ht="15" customHeight="1" x14ac:dyDescent="0.3">
      <c r="A35" s="13"/>
      <c r="B35" s="13"/>
      <c r="C35" s="145" t="s">
        <v>126</v>
      </c>
      <c r="D35" s="13"/>
      <c r="E35" s="13"/>
      <c r="F35" s="159" t="s">
        <v>146</v>
      </c>
      <c r="G35" s="159" t="s">
        <v>146</v>
      </c>
      <c r="H35" s="159" t="s">
        <v>146</v>
      </c>
      <c r="I35" s="159" t="s">
        <v>146</v>
      </c>
      <c r="J35" s="159" t="s">
        <v>146</v>
      </c>
      <c r="K35" s="159" t="s">
        <v>146</v>
      </c>
      <c r="L35" s="159" t="s">
        <v>146</v>
      </c>
      <c r="M35" s="159" t="s">
        <v>146</v>
      </c>
      <c r="N35" s="159" t="s">
        <v>146</v>
      </c>
      <c r="O35" s="159" t="s">
        <v>146</v>
      </c>
      <c r="P35" s="159" t="s">
        <v>146</v>
      </c>
      <c r="Q35" s="159" t="s">
        <v>146</v>
      </c>
      <c r="R35" s="159" t="s">
        <v>146</v>
      </c>
      <c r="S35" s="159" t="s">
        <v>146</v>
      </c>
      <c r="T35" s="159" t="s">
        <v>146</v>
      </c>
      <c r="U35" s="140"/>
    </row>
    <row r="36" spans="1:21" ht="15" customHeight="1" x14ac:dyDescent="0.3">
      <c r="A36" s="13"/>
      <c r="B36" s="13"/>
      <c r="C36" s="145" t="s">
        <v>127</v>
      </c>
      <c r="D36" s="13"/>
      <c r="E36" s="13"/>
      <c r="F36" s="159" t="s">
        <v>146</v>
      </c>
      <c r="G36" s="159" t="s">
        <v>146</v>
      </c>
      <c r="H36" s="159" t="s">
        <v>146</v>
      </c>
      <c r="I36" s="159" t="s">
        <v>146</v>
      </c>
      <c r="J36" s="159" t="s">
        <v>146</v>
      </c>
      <c r="K36" s="159" t="s">
        <v>146</v>
      </c>
      <c r="L36" s="159" t="s">
        <v>146</v>
      </c>
      <c r="M36" s="159" t="s">
        <v>146</v>
      </c>
      <c r="N36" s="159" t="s">
        <v>146</v>
      </c>
      <c r="O36" s="159" t="s">
        <v>146</v>
      </c>
      <c r="P36" s="159" t="s">
        <v>146</v>
      </c>
      <c r="Q36" s="159" t="s">
        <v>146</v>
      </c>
      <c r="R36" s="159" t="s">
        <v>146</v>
      </c>
      <c r="S36" s="159" t="s">
        <v>146</v>
      </c>
      <c r="T36" s="159" t="s">
        <v>146</v>
      </c>
      <c r="U36" s="140"/>
    </row>
    <row r="37" spans="1:21" x14ac:dyDescent="0.3">
      <c r="A37" s="154"/>
      <c r="B37" s="154"/>
      <c r="C37" s="181" t="s">
        <v>128</v>
      </c>
      <c r="D37" s="154"/>
      <c r="E37" s="154"/>
      <c r="F37" s="162">
        <f t="shared" ref="F37:H37" si="5">SUM(F29:F36)</f>
        <v>-28713</v>
      </c>
      <c r="G37" s="162">
        <f t="shared" si="5"/>
        <v>-28713</v>
      </c>
      <c r="H37" s="162">
        <f t="shared" si="5"/>
        <v>-28713</v>
      </c>
      <c r="I37" s="162">
        <f t="shared" ref="I37:T37" si="6">SUM(I29:I36)</f>
        <v>-28713</v>
      </c>
      <c r="J37" s="162">
        <f t="shared" si="6"/>
        <v>-28713</v>
      </c>
      <c r="K37" s="162">
        <f t="shared" si="6"/>
        <v>-28713</v>
      </c>
      <c r="L37" s="162">
        <f t="shared" si="6"/>
        <v>-28713</v>
      </c>
      <c r="M37" s="162">
        <f t="shared" si="6"/>
        <v>-28713</v>
      </c>
      <c r="N37" s="162">
        <f t="shared" si="6"/>
        <v>-28713</v>
      </c>
      <c r="O37" s="162">
        <f t="shared" si="6"/>
        <v>-28713</v>
      </c>
      <c r="P37" s="162">
        <f t="shared" si="6"/>
        <v>-28713</v>
      </c>
      <c r="Q37" s="162">
        <f t="shared" si="6"/>
        <v>-17479</v>
      </c>
      <c r="R37" s="162">
        <f t="shared" si="6"/>
        <v>-6893</v>
      </c>
      <c r="S37" s="162">
        <f t="shared" si="6"/>
        <v>-6893</v>
      </c>
      <c r="T37" s="162">
        <f t="shared" si="6"/>
        <v>-6893</v>
      </c>
      <c r="U37" s="162">
        <f t="shared" si="3"/>
        <v>-333322</v>
      </c>
    </row>
    <row r="38" spans="1:21" x14ac:dyDescent="0.3">
      <c r="A38" s="155"/>
      <c r="B38" s="155"/>
      <c r="C38" s="192" t="s">
        <v>129</v>
      </c>
      <c r="D38" s="155"/>
      <c r="E38" s="155"/>
      <c r="F38" s="156">
        <v>-45063</v>
      </c>
      <c r="G38" s="156">
        <v>-45063</v>
      </c>
      <c r="H38" s="156">
        <v>-45063</v>
      </c>
      <c r="I38" s="156">
        <v>-45063</v>
      </c>
      <c r="J38" s="156">
        <v>-45063</v>
      </c>
      <c r="K38" s="156">
        <v>-45063</v>
      </c>
      <c r="L38" s="156">
        <v>-45063</v>
      </c>
      <c r="M38" s="156">
        <v>-45063</v>
      </c>
      <c r="N38" s="156">
        <v>-45063</v>
      </c>
      <c r="O38" s="156">
        <v>-45063</v>
      </c>
      <c r="P38" s="156">
        <v>-45063</v>
      </c>
      <c r="Q38" s="156">
        <v>-45063</v>
      </c>
      <c r="R38" s="156">
        <v>-45063</v>
      </c>
      <c r="S38" s="156">
        <v>-45063</v>
      </c>
      <c r="T38" s="156">
        <v>-45063</v>
      </c>
      <c r="U38" s="156">
        <f t="shared" si="3"/>
        <v>-540756</v>
      </c>
    </row>
    <row r="39" spans="1:21" x14ac:dyDescent="0.3">
      <c r="A39" s="13"/>
      <c r="B39" s="13"/>
      <c r="C39" s="143"/>
      <c r="D39" s="13"/>
      <c r="E39" s="1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0"/>
    </row>
    <row r="40" spans="1:21" x14ac:dyDescent="0.3">
      <c r="A40" s="13"/>
      <c r="B40" s="13"/>
      <c r="C40" s="144" t="s">
        <v>31</v>
      </c>
      <c r="D40" s="13"/>
      <c r="E40" s="1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0"/>
    </row>
    <row r="41" spans="1:21" x14ac:dyDescent="0.3">
      <c r="A41" s="13"/>
      <c r="B41" s="13"/>
      <c r="C41" s="143" t="s">
        <v>324</v>
      </c>
      <c r="D41" s="13"/>
      <c r="E41" s="13"/>
      <c r="F41" s="158">
        <v>-1750</v>
      </c>
      <c r="G41" s="158">
        <v>-1750</v>
      </c>
      <c r="H41" s="158">
        <v>-1750</v>
      </c>
      <c r="I41" s="158">
        <v>-1750</v>
      </c>
      <c r="J41" s="158">
        <v>-1750</v>
      </c>
      <c r="K41" s="158">
        <v>-1750</v>
      </c>
      <c r="L41" s="158">
        <v>-1750</v>
      </c>
      <c r="M41" s="158">
        <v>-1750</v>
      </c>
      <c r="N41" s="158">
        <v>-1750</v>
      </c>
      <c r="O41" s="158">
        <v>-1750</v>
      </c>
      <c r="P41" s="158">
        <v>-1750</v>
      </c>
      <c r="Q41" s="158">
        <v>-1750</v>
      </c>
      <c r="R41" s="158">
        <v>-1750</v>
      </c>
      <c r="S41" s="158">
        <v>-1750</v>
      </c>
      <c r="T41" s="158">
        <v>-1750</v>
      </c>
      <c r="U41" s="158">
        <f t="shared" si="3"/>
        <v>-21000</v>
      </c>
    </row>
    <row r="42" spans="1:21" x14ac:dyDescent="0.3">
      <c r="A42" s="13"/>
      <c r="B42" s="13"/>
      <c r="C42" s="143" t="s">
        <v>325</v>
      </c>
      <c r="D42" s="13"/>
      <c r="E42" s="13"/>
      <c r="F42" s="158">
        <v>-2550</v>
      </c>
      <c r="G42" s="158">
        <v>-2550</v>
      </c>
      <c r="H42" s="158">
        <v>-2550</v>
      </c>
      <c r="I42" s="158">
        <v>-2550</v>
      </c>
      <c r="J42" s="158">
        <v>-2550</v>
      </c>
      <c r="K42" s="158">
        <v>-2550</v>
      </c>
      <c r="L42" s="158">
        <v>-2550</v>
      </c>
      <c r="M42" s="158">
        <v>-2550</v>
      </c>
      <c r="N42" s="158">
        <v>-2550</v>
      </c>
      <c r="O42" s="158">
        <v>-2550</v>
      </c>
      <c r="P42" s="158">
        <v>-2550</v>
      </c>
      <c r="Q42" s="158">
        <v>-2550</v>
      </c>
      <c r="R42" s="158">
        <v>-2550</v>
      </c>
      <c r="S42" s="158">
        <v>-2550</v>
      </c>
      <c r="T42" s="158">
        <v>-2550</v>
      </c>
      <c r="U42" s="158">
        <f t="shared" si="3"/>
        <v>-30600</v>
      </c>
    </row>
    <row r="43" spans="1:21" x14ac:dyDescent="0.3">
      <c r="A43" s="13"/>
      <c r="B43" s="13"/>
      <c r="C43" s="143" t="s">
        <v>326</v>
      </c>
      <c r="D43" s="13"/>
      <c r="E43" s="13"/>
      <c r="F43" s="158">
        <v>-700</v>
      </c>
      <c r="G43" s="158">
        <v>-700</v>
      </c>
      <c r="H43" s="158">
        <v>-700</v>
      </c>
      <c r="I43" s="158">
        <v>-700</v>
      </c>
      <c r="J43" s="158">
        <v>-700</v>
      </c>
      <c r="K43" s="158">
        <v>-700</v>
      </c>
      <c r="L43" s="158">
        <v>-700</v>
      </c>
      <c r="M43" s="158">
        <v>-700</v>
      </c>
      <c r="N43" s="158">
        <v>-700</v>
      </c>
      <c r="O43" s="158">
        <v>-700</v>
      </c>
      <c r="P43" s="158">
        <v>-700</v>
      </c>
      <c r="Q43" s="158">
        <v>-700</v>
      </c>
      <c r="R43" s="158">
        <v>-700</v>
      </c>
      <c r="S43" s="158">
        <v>-700</v>
      </c>
      <c r="T43" s="158">
        <v>-700</v>
      </c>
      <c r="U43" s="158">
        <f t="shared" si="3"/>
        <v>-8400</v>
      </c>
    </row>
    <row r="44" spans="1:21" x14ac:dyDescent="0.3">
      <c r="A44" s="13"/>
      <c r="B44" s="13"/>
      <c r="C44" s="143" t="s">
        <v>327</v>
      </c>
      <c r="D44" s="13"/>
      <c r="E44" s="13"/>
      <c r="F44" s="158">
        <v>-1350</v>
      </c>
      <c r="G44" s="158">
        <v>-1350</v>
      </c>
      <c r="H44" s="158">
        <v>-1350</v>
      </c>
      <c r="I44" s="158">
        <v>-1350</v>
      </c>
      <c r="J44" s="158">
        <v>-1350</v>
      </c>
      <c r="K44" s="158">
        <v>-1350</v>
      </c>
      <c r="L44" s="158">
        <v>-1350</v>
      </c>
      <c r="M44" s="158">
        <v>-1350</v>
      </c>
      <c r="N44" s="158">
        <v>-1350</v>
      </c>
      <c r="O44" s="158">
        <v>-1350</v>
      </c>
      <c r="P44" s="158">
        <v>-1350</v>
      </c>
      <c r="Q44" s="158">
        <v>-1350</v>
      </c>
      <c r="R44" s="158">
        <v>-1350</v>
      </c>
      <c r="S44" s="158">
        <v>-1350</v>
      </c>
      <c r="T44" s="158">
        <v>-1350</v>
      </c>
      <c r="U44" s="158">
        <f t="shared" si="3"/>
        <v>-16200</v>
      </c>
    </row>
    <row r="45" spans="1:21" x14ac:dyDescent="0.3">
      <c r="A45" s="13"/>
      <c r="B45" s="13"/>
      <c r="C45" s="143" t="s">
        <v>328</v>
      </c>
      <c r="D45" s="13"/>
      <c r="E45" s="13"/>
      <c r="F45" s="158">
        <v>-1900</v>
      </c>
      <c r="G45" s="158">
        <v>-1900</v>
      </c>
      <c r="H45" s="158">
        <v>-1900</v>
      </c>
      <c r="I45" s="158">
        <v>-1900</v>
      </c>
      <c r="J45" s="158">
        <v>-1900</v>
      </c>
      <c r="K45" s="158">
        <v>-1900</v>
      </c>
      <c r="L45" s="158">
        <v>-1900</v>
      </c>
      <c r="M45" s="158">
        <v>-1900</v>
      </c>
      <c r="N45" s="158">
        <v>-1900</v>
      </c>
      <c r="O45" s="158">
        <v>-1900</v>
      </c>
      <c r="P45" s="158">
        <v>-1900</v>
      </c>
      <c r="Q45" s="158">
        <v>-1900</v>
      </c>
      <c r="R45" s="158">
        <v>-1900</v>
      </c>
      <c r="S45" s="158">
        <v>-1900</v>
      </c>
      <c r="T45" s="158">
        <v>-1900</v>
      </c>
      <c r="U45" s="158">
        <f t="shared" si="3"/>
        <v>-22800</v>
      </c>
    </row>
    <row r="46" spans="1:21" x14ac:dyDescent="0.3">
      <c r="A46" s="13"/>
      <c r="B46" s="13"/>
      <c r="C46" s="143" t="s">
        <v>131</v>
      </c>
      <c r="D46" s="13"/>
      <c r="E46" s="1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0"/>
    </row>
    <row r="47" spans="1:21" x14ac:dyDescent="0.3">
      <c r="A47" s="13"/>
      <c r="B47" s="13"/>
      <c r="C47" s="145" t="s">
        <v>132</v>
      </c>
      <c r="D47" s="13"/>
      <c r="E47" s="1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0"/>
    </row>
    <row r="48" spans="1:21" x14ac:dyDescent="0.3">
      <c r="A48" s="13"/>
      <c r="B48" s="13"/>
      <c r="C48" s="145" t="s">
        <v>133</v>
      </c>
      <c r="D48" s="13"/>
      <c r="E48" s="1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0"/>
    </row>
    <row r="49" spans="1:21" x14ac:dyDescent="0.3">
      <c r="A49" s="13"/>
      <c r="B49" s="13"/>
      <c r="C49" s="145" t="s">
        <v>134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135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136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137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138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139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140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s="119" customFormat="1" ht="14.4" customHeight="1" x14ac:dyDescent="0.3">
      <c r="A56" s="168"/>
      <c r="B56" s="168"/>
      <c r="C56" s="169" t="s">
        <v>141</v>
      </c>
      <c r="D56" s="168"/>
      <c r="E56" s="168"/>
      <c r="F56" s="170">
        <f t="shared" ref="F56:H56" si="7">SUM(F41:F55)</f>
        <v>-8250</v>
      </c>
      <c r="G56" s="170">
        <f t="shared" si="7"/>
        <v>-8250</v>
      </c>
      <c r="H56" s="170">
        <f t="shared" si="7"/>
        <v>-8250</v>
      </c>
      <c r="I56" s="170">
        <f t="shared" ref="I56:T56" si="8">SUM(I41:I55)</f>
        <v>-8250</v>
      </c>
      <c r="J56" s="170">
        <f t="shared" si="8"/>
        <v>-8250</v>
      </c>
      <c r="K56" s="170">
        <f t="shared" si="8"/>
        <v>-8250</v>
      </c>
      <c r="L56" s="170">
        <f t="shared" si="8"/>
        <v>-8250</v>
      </c>
      <c r="M56" s="170">
        <f t="shared" si="8"/>
        <v>-8250</v>
      </c>
      <c r="N56" s="170">
        <f t="shared" si="8"/>
        <v>-8250</v>
      </c>
      <c r="O56" s="170">
        <f t="shared" si="8"/>
        <v>-8250</v>
      </c>
      <c r="P56" s="170">
        <f t="shared" si="8"/>
        <v>-8250</v>
      </c>
      <c r="Q56" s="170">
        <f t="shared" si="8"/>
        <v>-8250</v>
      </c>
      <c r="R56" s="170">
        <f t="shared" si="8"/>
        <v>-8250</v>
      </c>
      <c r="S56" s="170">
        <f t="shared" si="8"/>
        <v>-8250</v>
      </c>
      <c r="T56" s="170">
        <f t="shared" si="8"/>
        <v>-8250</v>
      </c>
      <c r="U56" s="162">
        <f t="shared" si="3"/>
        <v>-99000</v>
      </c>
    </row>
    <row r="57" spans="1:21" s="119" customFormat="1" ht="14.4" customHeight="1" x14ac:dyDescent="0.3">
      <c r="A57" s="171"/>
      <c r="B57" s="171"/>
      <c r="C57" s="172" t="s">
        <v>10</v>
      </c>
      <c r="D57" s="171"/>
      <c r="E57" s="171"/>
      <c r="F57" s="173">
        <f>F17+F18+F37+F56</f>
        <v>813668</v>
      </c>
      <c r="G57" s="173">
        <f>G17+G18+G37+G56</f>
        <v>835328</v>
      </c>
      <c r="H57" s="173">
        <f t="shared" ref="H57:T57" si="9">H17+H18+H37+H56</f>
        <v>841843</v>
      </c>
      <c r="I57" s="173">
        <f t="shared" si="9"/>
        <v>847978</v>
      </c>
      <c r="J57" s="173">
        <f t="shared" si="9"/>
        <v>854023</v>
      </c>
      <c r="K57" s="173">
        <f t="shared" si="9"/>
        <v>860158</v>
      </c>
      <c r="L57" s="173">
        <f t="shared" si="9"/>
        <v>866673</v>
      </c>
      <c r="M57" s="173">
        <f t="shared" si="9"/>
        <v>890153</v>
      </c>
      <c r="N57" s="173">
        <f t="shared" si="9"/>
        <v>897528</v>
      </c>
      <c r="O57" s="173">
        <f t="shared" si="9"/>
        <v>904333</v>
      </c>
      <c r="P57" s="173">
        <f t="shared" si="9"/>
        <v>917613</v>
      </c>
      <c r="Q57" s="173">
        <f t="shared" si="9"/>
        <v>936722</v>
      </c>
      <c r="R57" s="173">
        <f t="shared" si="9"/>
        <v>952973</v>
      </c>
      <c r="S57" s="173">
        <f t="shared" si="9"/>
        <v>959488</v>
      </c>
      <c r="T57" s="173">
        <f t="shared" si="9"/>
        <v>984318</v>
      </c>
      <c r="U57" s="156">
        <f t="shared" si="3"/>
        <v>10466020</v>
      </c>
    </row>
    <row r="58" spans="1:21" s="119" customFormat="1" ht="14.4" customHeight="1" x14ac:dyDescent="0.3">
      <c r="A58" s="117"/>
      <c r="B58" s="117"/>
      <c r="C58" s="146" t="s">
        <v>142</v>
      </c>
      <c r="D58" s="117"/>
      <c r="E58" s="117"/>
      <c r="F58" s="382">
        <v>-1911</v>
      </c>
      <c r="G58" s="382">
        <v>-1911</v>
      </c>
      <c r="H58" s="382">
        <v>-1911</v>
      </c>
      <c r="I58" s="382">
        <v>-1756</v>
      </c>
      <c r="J58" s="382">
        <v>-1756</v>
      </c>
      <c r="K58" s="382">
        <v>-1756</v>
      </c>
      <c r="L58" s="382">
        <v>-1756</v>
      </c>
      <c r="M58" s="382">
        <v>-1756</v>
      </c>
      <c r="N58" s="382">
        <v>-1756</v>
      </c>
      <c r="O58" s="382">
        <v>-1756</v>
      </c>
      <c r="P58" s="382">
        <v>-1756</v>
      </c>
      <c r="Q58" s="382">
        <v>-1756</v>
      </c>
      <c r="R58" s="382">
        <v>-1756</v>
      </c>
      <c r="S58" s="382">
        <v>-1756</v>
      </c>
      <c r="T58" s="382">
        <v>-1756</v>
      </c>
      <c r="U58" s="382">
        <f t="shared" si="3"/>
        <v>-21537</v>
      </c>
    </row>
    <row r="59" spans="1:21" s="119" customFormat="1" ht="25.05" customHeight="1" x14ac:dyDescent="0.3">
      <c r="A59" s="117"/>
      <c r="B59" s="117"/>
      <c r="C59" s="146" t="s">
        <v>12</v>
      </c>
      <c r="D59" s="117"/>
      <c r="E59" s="117"/>
      <c r="F59" s="382">
        <f>F57+F58</f>
        <v>811757</v>
      </c>
      <c r="G59" s="382">
        <f t="shared" ref="G59:T59" si="10">G57+G58</f>
        <v>833417</v>
      </c>
      <c r="H59" s="382">
        <f t="shared" si="10"/>
        <v>839932</v>
      </c>
      <c r="I59" s="382">
        <f t="shared" si="10"/>
        <v>846222</v>
      </c>
      <c r="J59" s="382">
        <f t="shared" si="10"/>
        <v>852267</v>
      </c>
      <c r="K59" s="382">
        <f t="shared" si="10"/>
        <v>858402</v>
      </c>
      <c r="L59" s="382">
        <f t="shared" si="10"/>
        <v>864917</v>
      </c>
      <c r="M59" s="382">
        <f t="shared" si="10"/>
        <v>888397</v>
      </c>
      <c r="N59" s="382">
        <f t="shared" si="10"/>
        <v>895772</v>
      </c>
      <c r="O59" s="382">
        <f t="shared" si="10"/>
        <v>902577</v>
      </c>
      <c r="P59" s="382">
        <f t="shared" si="10"/>
        <v>915857</v>
      </c>
      <c r="Q59" s="382">
        <f t="shared" si="10"/>
        <v>934966</v>
      </c>
      <c r="R59" s="382">
        <f t="shared" si="10"/>
        <v>951217</v>
      </c>
      <c r="S59" s="382">
        <f t="shared" si="10"/>
        <v>957732</v>
      </c>
      <c r="T59" s="382">
        <f t="shared" si="10"/>
        <v>982562</v>
      </c>
      <c r="U59" s="382">
        <f t="shared" si="3"/>
        <v>10444483</v>
      </c>
    </row>
    <row r="60" spans="1:21" s="119" customFormat="1" ht="25.05" customHeight="1" x14ac:dyDescent="0.3">
      <c r="A60" s="117"/>
      <c r="B60" s="117"/>
      <c r="C60" s="147" t="s">
        <v>143</v>
      </c>
      <c r="D60" s="148"/>
      <c r="E60" s="117"/>
      <c r="F60" s="382">
        <f>('BS 2027'!F27*0.2)</f>
        <v>0</v>
      </c>
      <c r="G60" s="382">
        <f>('BS 2027'!G27*0.2)</f>
        <v>0</v>
      </c>
      <c r="H60" s="382">
        <f>('BS 2027'!H27*0.2)</f>
        <v>0</v>
      </c>
      <c r="I60" s="382">
        <f>('BS 2027'!I27*0.2)</f>
        <v>0</v>
      </c>
      <c r="J60" s="382">
        <f>('BS 2027'!J27*0.2)</f>
        <v>0</v>
      </c>
      <c r="K60" s="382">
        <f>('BS 2027'!K27*0.2)</f>
        <v>0</v>
      </c>
      <c r="L60" s="382">
        <f>('BS 2027'!L27*0.2)</f>
        <v>0</v>
      </c>
      <c r="M60" s="382">
        <f>('BS 2027'!M27*0.2)</f>
        <v>0</v>
      </c>
      <c r="N60" s="382">
        <f>('BS 2027'!N27*0.2)</f>
        <v>0</v>
      </c>
      <c r="O60" s="382">
        <f>('BS 2027'!O27*0.2)</f>
        <v>0</v>
      </c>
      <c r="P60" s="382">
        <f>('BS 2027'!P27*0.2)</f>
        <v>0</v>
      </c>
      <c r="Q60" s="382">
        <f>('BS 2027'!Q27*0.2)</f>
        <v>0</v>
      </c>
      <c r="R60" s="382">
        <f>('BS 2027'!R27*0.2)</f>
        <v>0</v>
      </c>
      <c r="S60" s="382">
        <f>('BS 2027'!S27*0.2)</f>
        <v>0</v>
      </c>
      <c r="T60" s="382">
        <f>('BS 2027'!T27*0.2)</f>
        <v>0</v>
      </c>
      <c r="U60" s="382">
        <f>('BS 2027'!U27*0.2)</f>
        <v>0</v>
      </c>
    </row>
    <row r="61" spans="1:21" s="119" customFormat="1" ht="25.05" customHeight="1" x14ac:dyDescent="0.3">
      <c r="A61" s="117"/>
      <c r="B61" s="117"/>
      <c r="C61" s="146" t="s">
        <v>14</v>
      </c>
      <c r="D61" s="117"/>
      <c r="E61" s="117"/>
      <c r="F61" s="382">
        <f>F57</f>
        <v>813668</v>
      </c>
      <c r="G61" s="382">
        <f t="shared" ref="G61:T61" si="11">G57</f>
        <v>835328</v>
      </c>
      <c r="H61" s="382">
        <f t="shared" si="11"/>
        <v>841843</v>
      </c>
      <c r="I61" s="382">
        <f t="shared" si="11"/>
        <v>847978</v>
      </c>
      <c r="J61" s="382">
        <f t="shared" si="11"/>
        <v>854023</v>
      </c>
      <c r="K61" s="382">
        <f t="shared" si="11"/>
        <v>860158</v>
      </c>
      <c r="L61" s="382">
        <f t="shared" si="11"/>
        <v>866673</v>
      </c>
      <c r="M61" s="382">
        <f t="shared" si="11"/>
        <v>890153</v>
      </c>
      <c r="N61" s="382">
        <f t="shared" si="11"/>
        <v>897528</v>
      </c>
      <c r="O61" s="382">
        <f t="shared" si="11"/>
        <v>904333</v>
      </c>
      <c r="P61" s="382">
        <f t="shared" si="11"/>
        <v>917613</v>
      </c>
      <c r="Q61" s="382">
        <f t="shared" si="11"/>
        <v>936722</v>
      </c>
      <c r="R61" s="382">
        <f t="shared" si="11"/>
        <v>952973</v>
      </c>
      <c r="S61" s="382">
        <f t="shared" si="11"/>
        <v>959488</v>
      </c>
      <c r="T61" s="382">
        <f t="shared" si="11"/>
        <v>984318</v>
      </c>
      <c r="U61" s="382">
        <f t="shared" si="3"/>
        <v>10466020</v>
      </c>
    </row>
    <row r="62" spans="1:21" s="119" customFormat="1" ht="25.05" customHeight="1" x14ac:dyDescent="0.3">
      <c r="A62" s="117"/>
      <c r="B62" s="117"/>
      <c r="C62" s="147" t="s">
        <v>15</v>
      </c>
      <c r="D62" s="117"/>
      <c r="E62" s="117"/>
      <c r="F62" s="382">
        <f>(F61*0.2)*-1</f>
        <v>-162733.6</v>
      </c>
      <c r="G62" s="382">
        <f t="shared" ref="G62:T62" si="12">(G61*0.2)*-1</f>
        <v>-167065.60000000001</v>
      </c>
      <c r="H62" s="382">
        <f t="shared" si="12"/>
        <v>-168368.6</v>
      </c>
      <c r="I62" s="382">
        <f t="shared" si="12"/>
        <v>-169595.6</v>
      </c>
      <c r="J62" s="382">
        <f t="shared" si="12"/>
        <v>-170804.6</v>
      </c>
      <c r="K62" s="382">
        <f t="shared" si="12"/>
        <v>-172031.6</v>
      </c>
      <c r="L62" s="382">
        <f t="shared" si="12"/>
        <v>-173334.6</v>
      </c>
      <c r="M62" s="382">
        <f t="shared" si="12"/>
        <v>-178030.6</v>
      </c>
      <c r="N62" s="382">
        <f t="shared" si="12"/>
        <v>-179505.6</v>
      </c>
      <c r="O62" s="382">
        <f t="shared" si="12"/>
        <v>-180866.6</v>
      </c>
      <c r="P62" s="382">
        <f t="shared" si="12"/>
        <v>-183522.6</v>
      </c>
      <c r="Q62" s="382">
        <f t="shared" si="12"/>
        <v>-187344.40000000002</v>
      </c>
      <c r="R62" s="382">
        <f t="shared" si="12"/>
        <v>-190594.6</v>
      </c>
      <c r="S62" s="382">
        <f t="shared" si="12"/>
        <v>-191897.60000000001</v>
      </c>
      <c r="T62" s="382">
        <f t="shared" si="12"/>
        <v>-196863.6</v>
      </c>
      <c r="U62" s="382">
        <f t="shared" si="3"/>
        <v>-2093204.0000000005</v>
      </c>
    </row>
    <row r="63" spans="1:21" s="119" customFormat="1" ht="14.4" customHeight="1" x14ac:dyDescent="0.3">
      <c r="A63" s="174"/>
      <c r="B63" s="174"/>
      <c r="C63" s="175" t="s">
        <v>16</v>
      </c>
      <c r="D63" s="174"/>
      <c r="E63" s="174"/>
      <c r="F63" s="309">
        <f t="shared" ref="F63" si="13">F61+F62</f>
        <v>650934.4</v>
      </c>
      <c r="G63" s="309">
        <f t="shared" ref="G63" si="14">G61+G62</f>
        <v>668262.40000000002</v>
      </c>
      <c r="H63" s="309">
        <f t="shared" ref="H63" si="15">H61+H62</f>
        <v>673474.4</v>
      </c>
      <c r="I63" s="309">
        <f t="shared" ref="I63" si="16">I61+I62</f>
        <v>678382.4</v>
      </c>
      <c r="J63" s="309">
        <f t="shared" ref="J63" si="17">J61+J62</f>
        <v>683218.4</v>
      </c>
      <c r="K63" s="309">
        <f t="shared" ref="K63" si="18">K61+K62</f>
        <v>688126.4</v>
      </c>
      <c r="L63" s="309">
        <f t="shared" ref="L63" si="19">L61+L62</f>
        <v>693338.4</v>
      </c>
      <c r="M63" s="309">
        <f t="shared" ref="M63" si="20">M61+M62</f>
        <v>712122.4</v>
      </c>
      <c r="N63" s="309">
        <f t="shared" ref="N63" si="21">N61+N62</f>
        <v>718022.4</v>
      </c>
      <c r="O63" s="309">
        <f t="shared" ref="O63" si="22">O61+O62</f>
        <v>723466.4</v>
      </c>
      <c r="P63" s="309">
        <f t="shared" ref="P63" si="23">P61+P62</f>
        <v>734090.4</v>
      </c>
      <c r="Q63" s="309">
        <f t="shared" ref="Q63" si="24">Q61+Q62</f>
        <v>749377.6</v>
      </c>
      <c r="R63" s="309">
        <f t="shared" ref="R63" si="25">R61+R62</f>
        <v>762378.4</v>
      </c>
      <c r="S63" s="309">
        <f t="shared" ref="S63" si="26">S61+S62</f>
        <v>767590.40000000002</v>
      </c>
      <c r="T63" s="309">
        <f t="shared" ref="T63" si="27">T61+T62</f>
        <v>787454.4</v>
      </c>
      <c r="U63" s="310">
        <f t="shared" si="3"/>
        <v>8372816.0000000009</v>
      </c>
    </row>
    <row r="64" spans="1:21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</sheetData>
  <phoneticPr fontId="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0ABF-517D-41B9-B86A-39352A6E64E0}">
  <sheetPr codeName="Sheet33"/>
  <dimension ref="A2:V60"/>
  <sheetViews>
    <sheetView showGridLines="0" workbookViewId="0">
      <selection activeCell="B12" sqref="B12:B16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9" t="s">
        <v>149</v>
      </c>
      <c r="C2" s="138"/>
      <c r="D2" s="13"/>
    </row>
    <row r="3" spans="1:22" x14ac:dyDescent="0.3">
      <c r="A3" s="137" t="s">
        <v>150</v>
      </c>
      <c r="C3" s="23"/>
    </row>
    <row r="4" spans="1:22" x14ac:dyDescent="0.3">
      <c r="A4" s="137" t="s">
        <v>151</v>
      </c>
      <c r="C4" s="23"/>
    </row>
    <row r="6" spans="1:22" x14ac:dyDescent="0.3">
      <c r="B6" s="23" t="s">
        <v>197</v>
      </c>
    </row>
    <row r="7" spans="1:22" x14ac:dyDescent="0.3">
      <c r="A7" s="149"/>
      <c r="B7" s="181" t="s">
        <v>70</v>
      </c>
      <c r="C7" s="154"/>
      <c r="D7" s="154"/>
      <c r="E7" s="154"/>
      <c r="F7" s="154"/>
      <c r="G7" s="182">
        <v>46388</v>
      </c>
      <c r="H7" s="182">
        <v>46419</v>
      </c>
      <c r="I7" s="182">
        <v>46447</v>
      </c>
      <c r="J7" s="182">
        <v>46478</v>
      </c>
      <c r="K7" s="182">
        <v>46508</v>
      </c>
      <c r="L7" s="182">
        <v>46539</v>
      </c>
      <c r="M7" s="182">
        <v>46569</v>
      </c>
      <c r="N7" s="182">
        <v>46600</v>
      </c>
      <c r="O7" s="182">
        <v>46631</v>
      </c>
      <c r="P7" s="182">
        <v>46661</v>
      </c>
      <c r="Q7" s="182">
        <v>46692</v>
      </c>
      <c r="R7" s="182">
        <v>46722</v>
      </c>
      <c r="S7" s="182">
        <v>46753</v>
      </c>
      <c r="T7" s="182">
        <v>46784</v>
      </c>
      <c r="U7" s="182">
        <v>46813</v>
      </c>
      <c r="V7" s="183" t="s">
        <v>78</v>
      </c>
    </row>
    <row r="9" spans="1:22" x14ac:dyDescent="0.3">
      <c r="B9" s="23" t="s">
        <v>149</v>
      </c>
    </row>
    <row r="10" spans="1:22" x14ac:dyDescent="0.3">
      <c r="A10" s="154"/>
      <c r="B10" s="181" t="s">
        <v>152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</row>
    <row r="11" spans="1:22" x14ac:dyDescent="0.3">
      <c r="B11" s="356" t="s">
        <v>44</v>
      </c>
      <c r="C11" s="357"/>
      <c r="D11" s="357"/>
      <c r="E11" s="357"/>
      <c r="F11" s="357"/>
      <c r="G11" s="223">
        <f t="shared" ref="G11:R11" si="0">SUM(G12:G17)</f>
        <v>883175</v>
      </c>
      <c r="H11" s="223">
        <f t="shared" si="0"/>
        <v>904835</v>
      </c>
      <c r="I11" s="223">
        <f t="shared" si="0"/>
        <v>911350</v>
      </c>
      <c r="J11" s="223">
        <f t="shared" si="0"/>
        <v>917485</v>
      </c>
      <c r="K11" s="223">
        <f t="shared" si="0"/>
        <v>923530</v>
      </c>
      <c r="L11" s="223">
        <f t="shared" si="0"/>
        <v>929665</v>
      </c>
      <c r="M11" s="223">
        <f t="shared" si="0"/>
        <v>936180</v>
      </c>
      <c r="N11" s="223">
        <f t="shared" si="0"/>
        <v>959660</v>
      </c>
      <c r="O11" s="223">
        <f t="shared" si="0"/>
        <v>967035</v>
      </c>
      <c r="P11" s="223">
        <f t="shared" si="0"/>
        <v>973840</v>
      </c>
      <c r="Q11" s="223">
        <f t="shared" si="0"/>
        <v>987120</v>
      </c>
      <c r="R11" s="223">
        <f t="shared" si="0"/>
        <v>994995</v>
      </c>
      <c r="S11" s="223">
        <f>'CF 2028'!G11</f>
        <v>1000660</v>
      </c>
      <c r="T11" s="223">
        <f>'CF 2028'!H11</f>
        <v>1007175</v>
      </c>
      <c r="U11" s="223">
        <f>'CF 2028'!I11</f>
        <v>1032005</v>
      </c>
      <c r="V11" s="223">
        <f>SUM(G11:R11)</f>
        <v>11288870</v>
      </c>
    </row>
    <row r="12" spans="1:22" x14ac:dyDescent="0.3">
      <c r="B12" s="145" t="s">
        <v>337</v>
      </c>
      <c r="C12" s="357"/>
      <c r="D12" s="357"/>
      <c r="E12" s="357"/>
      <c r="F12" s="357"/>
      <c r="G12" s="223">
        <f>'IS 2027'!F12</f>
        <v>18630</v>
      </c>
      <c r="H12" s="223">
        <f>'IS 2027'!G12</f>
        <v>19170</v>
      </c>
      <c r="I12" s="223">
        <f>'IS 2027'!H12</f>
        <v>19305</v>
      </c>
      <c r="J12" s="223">
        <f>'IS 2027'!I12</f>
        <v>19440</v>
      </c>
      <c r="K12" s="223">
        <f>'IS 2027'!J12</f>
        <v>19575</v>
      </c>
      <c r="L12" s="223">
        <f>'IS 2027'!K12</f>
        <v>19710</v>
      </c>
      <c r="M12" s="223">
        <f>'IS 2027'!L12</f>
        <v>19845</v>
      </c>
      <c r="N12" s="223">
        <f>'IS 2027'!M12</f>
        <v>20250</v>
      </c>
      <c r="O12" s="223">
        <f>'IS 2027'!N12</f>
        <v>20790</v>
      </c>
      <c r="P12" s="223">
        <f>'IS 2027'!O12</f>
        <v>20925</v>
      </c>
      <c r="Q12" s="223">
        <f>'IS 2027'!P12</f>
        <v>20250</v>
      </c>
      <c r="R12" s="223">
        <f>'IS 2027'!Q12</f>
        <v>21060</v>
      </c>
      <c r="S12" s="223">
        <f>'CF 2028'!G12</f>
        <v>21195</v>
      </c>
      <c r="T12" s="223">
        <f>'CF 2028'!H12</f>
        <v>21330</v>
      </c>
      <c r="U12" s="223">
        <f>'CF 2028'!I12</f>
        <v>21870</v>
      </c>
      <c r="V12" s="357"/>
    </row>
    <row r="13" spans="1:22" x14ac:dyDescent="0.3">
      <c r="B13" s="145" t="s">
        <v>338</v>
      </c>
      <c r="C13" s="357"/>
      <c r="D13" s="357"/>
      <c r="E13" s="357"/>
      <c r="F13" s="357"/>
      <c r="G13" s="223">
        <f>'IS 2027'!F13</f>
        <v>26220</v>
      </c>
      <c r="H13" s="223">
        <f>'IS 2027'!G13</f>
        <v>26980</v>
      </c>
      <c r="I13" s="223">
        <f>'IS 2027'!H13</f>
        <v>27170</v>
      </c>
      <c r="J13" s="223">
        <f>'IS 2027'!I13</f>
        <v>27360</v>
      </c>
      <c r="K13" s="223">
        <f>'IS 2027'!J13</f>
        <v>27550</v>
      </c>
      <c r="L13" s="223">
        <f>'IS 2027'!K13</f>
        <v>27740</v>
      </c>
      <c r="M13" s="223">
        <f>'IS 2027'!L13</f>
        <v>27930</v>
      </c>
      <c r="N13" s="223">
        <f>'IS 2027'!M13</f>
        <v>28500</v>
      </c>
      <c r="O13" s="223">
        <f>'IS 2027'!N13</f>
        <v>29260</v>
      </c>
      <c r="P13" s="223">
        <f>'IS 2027'!O13</f>
        <v>29450</v>
      </c>
      <c r="Q13" s="223">
        <f>'IS 2027'!P13</f>
        <v>28500</v>
      </c>
      <c r="R13" s="223">
        <f>'IS 2027'!Q13</f>
        <v>29640</v>
      </c>
      <c r="S13" s="223">
        <f>'CF 2028'!G13</f>
        <v>29830</v>
      </c>
      <c r="T13" s="223">
        <f>'CF 2028'!H13</f>
        <v>30020</v>
      </c>
      <c r="U13" s="223">
        <f>'CF 2028'!I13</f>
        <v>30780</v>
      </c>
      <c r="V13" s="357"/>
    </row>
    <row r="14" spans="1:22" x14ac:dyDescent="0.3">
      <c r="B14" s="145" t="s">
        <v>339</v>
      </c>
      <c r="C14" s="357"/>
      <c r="D14" s="357"/>
      <c r="E14" s="357"/>
      <c r="F14" s="357"/>
      <c r="G14" s="223">
        <f>'IS 2027'!F14</f>
        <v>73405</v>
      </c>
      <c r="H14" s="223">
        <f>'IS 2027'!G14</f>
        <v>74995</v>
      </c>
      <c r="I14" s="223">
        <f>'IS 2027'!H14</f>
        <v>75525</v>
      </c>
      <c r="J14" s="223">
        <f>'IS 2027'!I14</f>
        <v>76055</v>
      </c>
      <c r="K14" s="223">
        <f>'IS 2027'!J14</f>
        <v>76585</v>
      </c>
      <c r="L14" s="223">
        <f>'IS 2027'!K14</f>
        <v>77115</v>
      </c>
      <c r="M14" s="223">
        <f>'IS 2027'!L14</f>
        <v>77645</v>
      </c>
      <c r="N14" s="223">
        <f>'IS 2027'!M14</f>
        <v>79500</v>
      </c>
      <c r="O14" s="223">
        <f>'IS 2027'!N14</f>
        <v>80295</v>
      </c>
      <c r="P14" s="223">
        <f>'IS 2027'!O14</f>
        <v>80825</v>
      </c>
      <c r="Q14" s="223">
        <f>'IS 2027'!P14</f>
        <v>82150</v>
      </c>
      <c r="R14" s="223">
        <f>'IS 2027'!Q14</f>
        <v>82415</v>
      </c>
      <c r="S14" s="223">
        <f>'CF 2028'!G14</f>
        <v>82945</v>
      </c>
      <c r="T14" s="223">
        <f>'CF 2028'!H14</f>
        <v>83475</v>
      </c>
      <c r="U14" s="223">
        <f>'CF 2028'!I14</f>
        <v>85595</v>
      </c>
      <c r="V14" s="357"/>
    </row>
    <row r="15" spans="1:22" x14ac:dyDescent="0.3">
      <c r="B15" s="145" t="s">
        <v>340</v>
      </c>
      <c r="C15" s="357"/>
      <c r="D15" s="357"/>
      <c r="E15" s="357"/>
      <c r="F15" s="357"/>
      <c r="G15" s="223">
        <f>'IS 2027'!F15</f>
        <v>245100</v>
      </c>
      <c r="H15" s="223">
        <f>'IS 2027'!G15</f>
        <v>251180</v>
      </c>
      <c r="I15" s="223">
        <f>'IS 2027'!H15</f>
        <v>253080</v>
      </c>
      <c r="J15" s="223">
        <f>'IS 2027'!I15</f>
        <v>254600</v>
      </c>
      <c r="K15" s="223">
        <f>'IS 2027'!J15</f>
        <v>256500</v>
      </c>
      <c r="L15" s="223">
        <f>'IS 2027'!K15</f>
        <v>258020</v>
      </c>
      <c r="M15" s="223">
        <f>'IS 2027'!L15</f>
        <v>259920</v>
      </c>
      <c r="N15" s="223">
        <f>'IS 2027'!M15</f>
        <v>266000</v>
      </c>
      <c r="O15" s="223">
        <f>'IS 2027'!N15</f>
        <v>267520</v>
      </c>
      <c r="P15" s="223">
        <f>'IS 2027'!O15</f>
        <v>270180</v>
      </c>
      <c r="Q15" s="223">
        <f>'IS 2027'!P15</f>
        <v>274360</v>
      </c>
      <c r="R15" s="223">
        <f>'IS 2027'!Q15</f>
        <v>276260</v>
      </c>
      <c r="S15" s="223">
        <f>'CF 2028'!G15</f>
        <v>277780</v>
      </c>
      <c r="T15" s="223">
        <f>'CF 2028'!H15</f>
        <v>279680</v>
      </c>
      <c r="U15" s="223">
        <f>'CF 2028'!I15</f>
        <v>286520</v>
      </c>
      <c r="V15" s="357"/>
    </row>
    <row r="16" spans="1:22" x14ac:dyDescent="0.3">
      <c r="B16" s="145" t="s">
        <v>341</v>
      </c>
      <c r="C16" s="357"/>
      <c r="D16" s="357"/>
      <c r="E16" s="357"/>
      <c r="F16" s="357"/>
      <c r="G16" s="223">
        <f>'IS 2027'!F16</f>
        <v>519820</v>
      </c>
      <c r="H16" s="223">
        <f>'IS 2027'!G16</f>
        <v>532510</v>
      </c>
      <c r="I16" s="223">
        <f>'IS 2027'!H16</f>
        <v>536270</v>
      </c>
      <c r="J16" s="223">
        <f>'IS 2027'!I16</f>
        <v>540030</v>
      </c>
      <c r="K16" s="223">
        <f>'IS 2027'!J16</f>
        <v>543320</v>
      </c>
      <c r="L16" s="223">
        <f>'IS 2027'!K16</f>
        <v>547080</v>
      </c>
      <c r="M16" s="223">
        <f>'IS 2027'!L16</f>
        <v>550840</v>
      </c>
      <c r="N16" s="223">
        <f>'IS 2027'!M16</f>
        <v>565410</v>
      </c>
      <c r="O16" s="223">
        <f>'IS 2027'!N16</f>
        <v>569170</v>
      </c>
      <c r="P16" s="223">
        <f>'IS 2027'!O16</f>
        <v>572460</v>
      </c>
      <c r="Q16" s="223">
        <f>'IS 2027'!P16</f>
        <v>581860</v>
      </c>
      <c r="R16" s="223">
        <f>'IS 2027'!Q16</f>
        <v>585620</v>
      </c>
      <c r="S16" s="223">
        <f>'CF 2028'!G16</f>
        <v>588910</v>
      </c>
      <c r="T16" s="223">
        <f>'CF 2028'!H16</f>
        <v>592670</v>
      </c>
      <c r="U16" s="223">
        <f>'CF 2028'!I16</f>
        <v>607240</v>
      </c>
      <c r="V16" s="357"/>
    </row>
    <row r="17" spans="1:22" x14ac:dyDescent="0.3">
      <c r="B17" s="360"/>
      <c r="C17" s="357"/>
      <c r="D17" s="357"/>
      <c r="E17" s="357"/>
      <c r="F17" s="357"/>
      <c r="G17" s="223"/>
      <c r="H17" s="223"/>
      <c r="I17" s="223"/>
      <c r="J17" s="223"/>
      <c r="K17" s="223"/>
      <c r="L17" s="223"/>
      <c r="M17" s="223"/>
      <c r="N17" s="223"/>
      <c r="O17" s="223"/>
      <c r="P17" s="357"/>
      <c r="Q17" s="223"/>
      <c r="R17" s="223"/>
      <c r="S17" s="223"/>
      <c r="T17" s="223"/>
      <c r="U17" s="223"/>
      <c r="V17" s="357"/>
    </row>
    <row r="18" spans="1:22" x14ac:dyDescent="0.3">
      <c r="B18" s="356" t="s">
        <v>45</v>
      </c>
      <c r="C18" s="357"/>
      <c r="D18" s="357"/>
      <c r="E18" s="357"/>
      <c r="F18" s="357"/>
      <c r="G18" s="223">
        <f>'CF 2026'!S18</f>
        <v>-625</v>
      </c>
      <c r="H18" s="223">
        <f>'CF 2026'!T18</f>
        <v>-625</v>
      </c>
      <c r="I18" s="223">
        <f>'CF 2026'!U18</f>
        <v>-625</v>
      </c>
      <c r="J18" s="223">
        <v>-625</v>
      </c>
      <c r="K18" s="223">
        <v>-625</v>
      </c>
      <c r="L18" s="223">
        <v>-625</v>
      </c>
      <c r="M18" s="223">
        <v>-625</v>
      </c>
      <c r="N18" s="223">
        <v>-625</v>
      </c>
      <c r="O18" s="223">
        <v>-625</v>
      </c>
      <c r="P18" s="223">
        <v>-625</v>
      </c>
      <c r="Q18" s="223">
        <v>-625</v>
      </c>
      <c r="R18" s="223">
        <v>-625</v>
      </c>
      <c r="S18" s="223">
        <v>-625</v>
      </c>
      <c r="T18" s="223">
        <v>-625</v>
      </c>
      <c r="U18" s="223">
        <v>-625</v>
      </c>
      <c r="V18" s="223">
        <f>SUM(G18:R18)</f>
        <v>-7500</v>
      </c>
    </row>
    <row r="19" spans="1:22" x14ac:dyDescent="0.3">
      <c r="B19" s="356" t="s">
        <v>153</v>
      </c>
      <c r="C19" s="357"/>
      <c r="D19" s="357"/>
      <c r="E19" s="357"/>
      <c r="F19" s="357"/>
      <c r="G19" s="223">
        <f>'IS 2027'!F60</f>
        <v>0</v>
      </c>
      <c r="H19" s="223">
        <f>'IS 2027'!G60</f>
        <v>0</v>
      </c>
      <c r="I19" s="223">
        <f>'IS 2027'!H60</f>
        <v>0</v>
      </c>
      <c r="J19" s="223">
        <f>'IS 2027'!I60</f>
        <v>0</v>
      </c>
      <c r="K19" s="223">
        <f>'IS 2027'!J60</f>
        <v>0</v>
      </c>
      <c r="L19" s="223">
        <f>'IS 2027'!K60</f>
        <v>0</v>
      </c>
      <c r="M19" s="223">
        <f>'IS 2027'!L60</f>
        <v>0</v>
      </c>
      <c r="N19" s="223">
        <f>'IS 2027'!M60</f>
        <v>0</v>
      </c>
      <c r="O19" s="223">
        <f>'IS 2027'!N60</f>
        <v>0</v>
      </c>
      <c r="P19" s="223">
        <f>'IS 2027'!O60</f>
        <v>0</v>
      </c>
      <c r="Q19" s="223">
        <f>'IS 2027'!P60</f>
        <v>0</v>
      </c>
      <c r="R19" s="223">
        <f>'IS 2027'!Q60</f>
        <v>0</v>
      </c>
      <c r="S19" s="223">
        <f>'IS 2027'!R60</f>
        <v>0</v>
      </c>
      <c r="T19" s="223">
        <f>'IS 2027'!S60</f>
        <v>0</v>
      </c>
      <c r="U19" s="223">
        <f>'IS 2027'!T60</f>
        <v>0</v>
      </c>
      <c r="V19" s="357"/>
    </row>
    <row r="20" spans="1:22" x14ac:dyDescent="0.3">
      <c r="B20" s="356" t="s">
        <v>154</v>
      </c>
      <c r="C20" s="357"/>
      <c r="D20" s="357"/>
      <c r="E20" s="357"/>
      <c r="F20" s="357"/>
      <c r="G20" s="223">
        <f>'IS 2027'!F62</f>
        <v>-162733.6</v>
      </c>
      <c r="H20" s="223">
        <f>'IS 2027'!G62</f>
        <v>-167065.60000000001</v>
      </c>
      <c r="I20" s="223">
        <f>'IS 2027'!H62</f>
        <v>-168368.6</v>
      </c>
      <c r="J20" s="223">
        <f>'IS 2027'!I62</f>
        <v>-169595.6</v>
      </c>
      <c r="K20" s="223">
        <f>'IS 2027'!J62</f>
        <v>-170804.6</v>
      </c>
      <c r="L20" s="223">
        <f>'IS 2027'!K62</f>
        <v>-172031.6</v>
      </c>
      <c r="M20" s="223">
        <f>'IS 2027'!L62</f>
        <v>-173334.6</v>
      </c>
      <c r="N20" s="223">
        <f>'IS 2027'!M62</f>
        <v>-178030.6</v>
      </c>
      <c r="O20" s="223">
        <f>'IS 2027'!N62</f>
        <v>-179505.6</v>
      </c>
      <c r="P20" s="223">
        <f>'IS 2027'!O62</f>
        <v>-180866.6</v>
      </c>
      <c r="Q20" s="223">
        <f>'IS 2027'!P62</f>
        <v>-183522.6</v>
      </c>
      <c r="R20" s="223">
        <f>'IS 2027'!Q62</f>
        <v>-187344.40000000002</v>
      </c>
      <c r="S20" s="223">
        <f>'IS 2027'!R62</f>
        <v>-190594.6</v>
      </c>
      <c r="T20" s="223">
        <f>'IS 2027'!S62</f>
        <v>-191897.60000000001</v>
      </c>
      <c r="U20" s="223">
        <f>'IS 2027'!T62</f>
        <v>-196863.6</v>
      </c>
      <c r="V20" s="357"/>
    </row>
    <row r="21" spans="1:22" x14ac:dyDescent="0.3">
      <c r="A21" s="154"/>
      <c r="B21" s="184" t="s">
        <v>155</v>
      </c>
      <c r="C21" s="154"/>
      <c r="D21" s="154"/>
      <c r="E21" s="154"/>
      <c r="F21" s="154"/>
      <c r="G21" s="162">
        <f t="shared" ref="G21:U21" si="1">G11</f>
        <v>883175</v>
      </c>
      <c r="H21" s="162">
        <f t="shared" si="1"/>
        <v>904835</v>
      </c>
      <c r="I21" s="162">
        <f t="shared" si="1"/>
        <v>911350</v>
      </c>
      <c r="J21" s="162">
        <f t="shared" si="1"/>
        <v>917485</v>
      </c>
      <c r="K21" s="162">
        <f t="shared" si="1"/>
        <v>923530</v>
      </c>
      <c r="L21" s="162">
        <f t="shared" si="1"/>
        <v>929665</v>
      </c>
      <c r="M21" s="162">
        <f t="shared" si="1"/>
        <v>936180</v>
      </c>
      <c r="N21" s="162">
        <f t="shared" si="1"/>
        <v>959660</v>
      </c>
      <c r="O21" s="162">
        <f t="shared" si="1"/>
        <v>967035</v>
      </c>
      <c r="P21" s="162">
        <f t="shared" si="1"/>
        <v>973840</v>
      </c>
      <c r="Q21" s="162">
        <f t="shared" si="1"/>
        <v>987120</v>
      </c>
      <c r="R21" s="162">
        <f t="shared" si="1"/>
        <v>994995</v>
      </c>
      <c r="S21" s="162">
        <f t="shared" si="1"/>
        <v>1000660</v>
      </c>
      <c r="T21" s="162">
        <f t="shared" si="1"/>
        <v>1007175</v>
      </c>
      <c r="U21" s="162">
        <f t="shared" si="1"/>
        <v>1032005</v>
      </c>
      <c r="V21" s="162">
        <f>SUM(G21:R21)</f>
        <v>11288870</v>
      </c>
    </row>
    <row r="22" spans="1:22" x14ac:dyDescent="0.3">
      <c r="A22" s="155"/>
      <c r="B22" s="210" t="s">
        <v>156</v>
      </c>
      <c r="C22" s="155"/>
      <c r="D22" s="155"/>
      <c r="E22" s="155"/>
      <c r="F22" s="155"/>
      <c r="G22" s="156">
        <f>SUM(G18:G20)</f>
        <v>-163358.6</v>
      </c>
      <c r="H22" s="156">
        <f t="shared" ref="H22:U22" si="2">SUM(H18:H20)</f>
        <v>-167690.6</v>
      </c>
      <c r="I22" s="156">
        <f t="shared" si="2"/>
        <v>-168993.6</v>
      </c>
      <c r="J22" s="156">
        <f t="shared" si="2"/>
        <v>-170220.6</v>
      </c>
      <c r="K22" s="156">
        <f t="shared" si="2"/>
        <v>-171429.6</v>
      </c>
      <c r="L22" s="156">
        <f t="shared" si="2"/>
        <v>-172656.6</v>
      </c>
      <c r="M22" s="156">
        <f t="shared" si="2"/>
        <v>-173959.6</v>
      </c>
      <c r="N22" s="156">
        <f t="shared" si="2"/>
        <v>-178655.6</v>
      </c>
      <c r="O22" s="156">
        <f t="shared" si="2"/>
        <v>-180130.6</v>
      </c>
      <c r="P22" s="156">
        <f t="shared" si="2"/>
        <v>-181491.6</v>
      </c>
      <c r="Q22" s="156">
        <f t="shared" si="2"/>
        <v>-184147.6</v>
      </c>
      <c r="R22" s="156">
        <f t="shared" si="2"/>
        <v>-187969.40000000002</v>
      </c>
      <c r="S22" s="156">
        <f t="shared" si="2"/>
        <v>-191219.6</v>
      </c>
      <c r="T22" s="156">
        <f t="shared" si="2"/>
        <v>-192522.6</v>
      </c>
      <c r="U22" s="156">
        <f t="shared" si="2"/>
        <v>-197488.6</v>
      </c>
      <c r="V22" s="156">
        <f>SUM(G22:R22)</f>
        <v>-2100704.0000000005</v>
      </c>
    </row>
    <row r="23" spans="1:22" x14ac:dyDescent="0.3">
      <c r="B23" s="157" t="s">
        <v>157</v>
      </c>
      <c r="C23" s="157"/>
      <c r="D23" s="157"/>
      <c r="E23" s="157"/>
      <c r="F23" s="157"/>
      <c r="G23" s="158">
        <f>SUM(G21:G22)</f>
        <v>719816.4</v>
      </c>
      <c r="H23" s="158">
        <f t="shared" ref="H23:R23" si="3">SUM(H21:H22)</f>
        <v>737144.4</v>
      </c>
      <c r="I23" s="158">
        <f t="shared" si="3"/>
        <v>742356.4</v>
      </c>
      <c r="J23" s="158">
        <f t="shared" si="3"/>
        <v>747264.4</v>
      </c>
      <c r="K23" s="158">
        <f t="shared" si="3"/>
        <v>752100.4</v>
      </c>
      <c r="L23" s="158">
        <f t="shared" si="3"/>
        <v>757008.4</v>
      </c>
      <c r="M23" s="158">
        <f t="shared" si="3"/>
        <v>762220.4</v>
      </c>
      <c r="N23" s="158">
        <f t="shared" si="3"/>
        <v>781004.4</v>
      </c>
      <c r="O23" s="158">
        <f t="shared" si="3"/>
        <v>786904.4</v>
      </c>
      <c r="P23" s="158">
        <f t="shared" si="3"/>
        <v>792348.4</v>
      </c>
      <c r="Q23" s="158">
        <f t="shared" si="3"/>
        <v>802972.4</v>
      </c>
      <c r="R23" s="158">
        <f t="shared" si="3"/>
        <v>807025.6</v>
      </c>
      <c r="S23" s="158">
        <f>'CF 2028'!G23</f>
        <v>813804.4</v>
      </c>
      <c r="T23" s="158">
        <f>'CF 2028'!H23</f>
        <v>819016.4</v>
      </c>
      <c r="U23" s="158">
        <f>'CF 2028'!I23</f>
        <v>840060.4</v>
      </c>
      <c r="V23" s="158">
        <f>SUM(G23:R23)</f>
        <v>9188166.0000000019</v>
      </c>
    </row>
    <row r="24" spans="1:22" x14ac:dyDescent="0.3">
      <c r="B24" s="157" t="s">
        <v>199</v>
      </c>
      <c r="C24" s="157"/>
      <c r="D24" s="157"/>
      <c r="E24" s="157"/>
      <c r="F24" s="157"/>
      <c r="G24" s="158">
        <f>'IS 2026'!F60+G23</f>
        <v>717966.4</v>
      </c>
      <c r="H24" s="158">
        <f>'IS 2025'!G61+H23</f>
        <v>735694.4</v>
      </c>
      <c r="I24" s="158">
        <f>'IS 2025'!H61+I23</f>
        <v>740906.4</v>
      </c>
      <c r="J24" s="158">
        <f>'IS 2025'!I61+J23</f>
        <v>745814.4</v>
      </c>
      <c r="K24" s="158">
        <f>'IS 2025'!J61+K23</f>
        <v>750650.4</v>
      </c>
      <c r="L24" s="158">
        <f>'IS 2025'!K61+L23</f>
        <v>755558.40000000002</v>
      </c>
      <c r="M24" s="158">
        <f>'IS 2025'!L61+M23</f>
        <v>760770.4</v>
      </c>
      <c r="N24" s="158">
        <f>'IS 2025'!M61+N23</f>
        <v>779554.4</v>
      </c>
      <c r="O24" s="158">
        <f>'IS 2025'!N61+O23</f>
        <v>785454.4</v>
      </c>
      <c r="P24" s="158">
        <f>'IS 2025'!O61+P23</f>
        <v>790898.4</v>
      </c>
      <c r="Q24" s="158">
        <f>'IS 2025'!P61+Q23</f>
        <v>801522.4</v>
      </c>
      <c r="R24" s="158">
        <f>'IS 2025'!Q61+R23</f>
        <v>805175.6</v>
      </c>
      <c r="S24" s="158">
        <f>'CF 2028'!G24</f>
        <v>811954.4</v>
      </c>
      <c r="T24" s="158">
        <f>'CF 2028'!H24</f>
        <v>817566.4</v>
      </c>
      <c r="U24" s="158">
        <f>'CF 2028'!I24</f>
        <v>838610.4</v>
      </c>
      <c r="V24" s="158"/>
    </row>
    <row r="25" spans="1:22" x14ac:dyDescent="0.3">
      <c r="B25" s="362" t="s">
        <v>158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8">
        <f>'CF 2028'!G25</f>
        <v>0</v>
      </c>
      <c r="T25" s="158">
        <f>'CF 2028'!H25</f>
        <v>0</v>
      </c>
      <c r="U25" s="158">
        <f>'CF 2028'!I25</f>
        <v>0</v>
      </c>
      <c r="V25" s="357"/>
    </row>
    <row r="26" spans="1:22" x14ac:dyDescent="0.3">
      <c r="B26" s="364" t="s">
        <v>159</v>
      </c>
      <c r="C26" s="157"/>
      <c r="D26" s="157"/>
      <c r="E26" s="157"/>
      <c r="F26" s="157"/>
      <c r="G26" s="158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8">
        <f>'CF 2028'!G26</f>
        <v>0</v>
      </c>
      <c r="T26" s="158">
        <f>'CF 2028'!H26</f>
        <v>0</v>
      </c>
      <c r="U26" s="158">
        <f>'CF 2028'!I26</f>
        <v>0</v>
      </c>
      <c r="V26" s="357"/>
    </row>
    <row r="27" spans="1:22" x14ac:dyDescent="0.3">
      <c r="B27" s="365" t="s">
        <v>121</v>
      </c>
      <c r="C27" s="157"/>
      <c r="D27" s="157"/>
      <c r="E27" s="157"/>
      <c r="F27" s="157"/>
      <c r="G27" s="158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373">
        <f>'CF 2028'!G27</f>
        <v>0</v>
      </c>
      <c r="T27" s="158">
        <f>'CF 2028'!H27</f>
        <v>0</v>
      </c>
      <c r="U27" s="158">
        <f>'CF 2028'!I27</f>
        <v>0</v>
      </c>
      <c r="V27" s="357"/>
    </row>
    <row r="28" spans="1:22" x14ac:dyDescent="0.3">
      <c r="B28" s="364" t="s">
        <v>160</v>
      </c>
      <c r="C28" s="157"/>
      <c r="D28" s="157"/>
      <c r="E28" s="157"/>
      <c r="F28" s="157"/>
      <c r="G28" s="158">
        <f>SUM(G26:G27)</f>
        <v>0</v>
      </c>
      <c r="H28" s="158">
        <f t="shared" ref="H28:R28" si="4">SUM(H26:H27)</f>
        <v>0</v>
      </c>
      <c r="I28" s="158">
        <f t="shared" si="4"/>
        <v>0</v>
      </c>
      <c r="J28" s="158">
        <f t="shared" si="4"/>
        <v>0</v>
      </c>
      <c r="K28" s="158">
        <f t="shared" si="4"/>
        <v>0</v>
      </c>
      <c r="L28" s="158">
        <f t="shared" si="4"/>
        <v>0</v>
      </c>
      <c r="M28" s="158">
        <f t="shared" si="4"/>
        <v>0</v>
      </c>
      <c r="N28" s="158">
        <f t="shared" si="4"/>
        <v>0</v>
      </c>
      <c r="O28" s="158">
        <f t="shared" si="4"/>
        <v>0</v>
      </c>
      <c r="P28" s="158">
        <f t="shared" si="4"/>
        <v>0</v>
      </c>
      <c r="Q28" s="158">
        <f t="shared" si="4"/>
        <v>0</v>
      </c>
      <c r="R28" s="158">
        <f t="shared" si="4"/>
        <v>0</v>
      </c>
      <c r="S28" s="158">
        <f>'CF 2028'!G28</f>
        <v>0</v>
      </c>
      <c r="T28" s="158">
        <f>'CF 2028'!H28</f>
        <v>0</v>
      </c>
      <c r="U28" s="158">
        <f>'CF 2028'!I28</f>
        <v>0</v>
      </c>
      <c r="V28" s="357"/>
    </row>
    <row r="29" spans="1:22" x14ac:dyDescent="0.3">
      <c r="B29" s="366" t="s">
        <v>161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8">
        <f>'CF 2028'!G29</f>
        <v>0</v>
      </c>
      <c r="T29" s="158">
        <f>'CF 2028'!H29</f>
        <v>0</v>
      </c>
      <c r="U29" s="158">
        <f>'CF 2028'!I29</f>
        <v>0</v>
      </c>
      <c r="V29" s="357"/>
    </row>
    <row r="30" spans="1:22" x14ac:dyDescent="0.3">
      <c r="B30" s="356" t="s">
        <v>162</v>
      </c>
      <c r="C30" s="357"/>
      <c r="D30" s="357"/>
      <c r="E30" s="357"/>
      <c r="F30" s="357"/>
      <c r="G30" s="223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223">
        <f>'CF 2028'!G30</f>
        <v>0</v>
      </c>
      <c r="T30" s="223">
        <f>'CF 2028'!H30</f>
        <v>0</v>
      </c>
      <c r="U30" s="223">
        <f>'CF 2028'!I30</f>
        <v>0</v>
      </c>
      <c r="V30" s="357"/>
    </row>
    <row r="31" spans="1:22" x14ac:dyDescent="0.3">
      <c r="B31" s="360" t="s">
        <v>121</v>
      </c>
      <c r="C31" s="357"/>
      <c r="D31" s="357"/>
      <c r="E31" s="357"/>
      <c r="F31" s="357"/>
      <c r="G31" s="223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223">
        <f>'CF 2028'!G31</f>
        <v>0</v>
      </c>
      <c r="T31" s="223">
        <f>'CF 2028'!H31</f>
        <v>0</v>
      </c>
      <c r="U31" s="223">
        <f>'CF 2028'!I31</f>
        <v>0</v>
      </c>
      <c r="V31" s="357"/>
    </row>
    <row r="32" spans="1:22" x14ac:dyDescent="0.3">
      <c r="B32" s="360" t="s">
        <v>122</v>
      </c>
      <c r="C32" s="357"/>
      <c r="D32" s="357"/>
      <c r="E32" s="357"/>
      <c r="F32" s="357"/>
      <c r="G32" s="223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223">
        <f>'CF 2028'!G32</f>
        <v>0</v>
      </c>
      <c r="T32" s="223">
        <f>'CF 2028'!H32</f>
        <v>0</v>
      </c>
      <c r="U32" s="223">
        <f>'CF 2028'!I32</f>
        <v>0</v>
      </c>
      <c r="V32" s="357"/>
    </row>
    <row r="33" spans="1:22" x14ac:dyDescent="0.3">
      <c r="B33" s="360" t="s">
        <v>123</v>
      </c>
      <c r="C33" s="357"/>
      <c r="D33" s="357"/>
      <c r="E33" s="357"/>
      <c r="F33" s="357"/>
      <c r="G33" s="223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223">
        <f>'CF 2028'!G33</f>
        <v>0</v>
      </c>
      <c r="T33" s="223">
        <f>'CF 2028'!H33</f>
        <v>0</v>
      </c>
      <c r="U33" s="223">
        <f>'CF 2028'!I33</f>
        <v>0</v>
      </c>
      <c r="V33" s="357"/>
    </row>
    <row r="34" spans="1:22" x14ac:dyDescent="0.3">
      <c r="B34" s="356" t="s">
        <v>163</v>
      </c>
      <c r="C34" s="357"/>
      <c r="D34" s="357"/>
      <c r="E34" s="357"/>
      <c r="F34" s="357"/>
      <c r="G34" s="378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>
        <f>SUM(G30:R34)</f>
        <v>0</v>
      </c>
    </row>
    <row r="35" spans="1:22" x14ac:dyDescent="0.3">
      <c r="B35" s="360" t="s">
        <v>121</v>
      </c>
      <c r="C35" s="357"/>
      <c r="D35" s="357"/>
      <c r="E35" s="357"/>
      <c r="F35" s="357"/>
      <c r="G35" s="357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>
        <f>'CF 2028'!G35</f>
        <v>0</v>
      </c>
      <c r="T35" s="223">
        <f>'CF 2028'!H35</f>
        <v>0</v>
      </c>
      <c r="U35" s="223">
        <f>'CF 2028'!I35</f>
        <v>0</v>
      </c>
      <c r="V35" s="357"/>
    </row>
    <row r="36" spans="1:22" x14ac:dyDescent="0.3">
      <c r="B36" s="356" t="s">
        <v>164</v>
      </c>
      <c r="C36" s="357"/>
      <c r="D36" s="357"/>
      <c r="E36" s="357"/>
      <c r="F36" s="357"/>
      <c r="G36" s="223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223">
        <f>'CF 2028'!G36</f>
        <v>0</v>
      </c>
      <c r="T36" s="223">
        <f>'CF 2028'!H36</f>
        <v>0</v>
      </c>
      <c r="U36" s="223">
        <f>'CF 2028'!I36</f>
        <v>0</v>
      </c>
      <c r="V36" s="357"/>
    </row>
    <row r="37" spans="1:22" x14ac:dyDescent="0.3">
      <c r="B37" s="360" t="s">
        <v>121</v>
      </c>
      <c r="C37" s="357"/>
      <c r="D37" s="357"/>
      <c r="E37" s="357"/>
      <c r="F37" s="357"/>
      <c r="G37" s="223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  <c r="S37" s="223">
        <f>'CF 2028'!G37</f>
        <v>0</v>
      </c>
      <c r="T37" s="223">
        <f>'CF 2028'!H37</f>
        <v>0</v>
      </c>
      <c r="U37" s="223">
        <f>'CF 2028'!I37</f>
        <v>0</v>
      </c>
      <c r="V37" s="357"/>
    </row>
    <row r="38" spans="1:22" x14ac:dyDescent="0.3">
      <c r="B38" s="356" t="s">
        <v>165</v>
      </c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  <c r="S38" s="223">
        <f>'CF 2028'!G38</f>
        <v>0</v>
      </c>
      <c r="T38" s="223">
        <f>'CF 2028'!H38</f>
        <v>0</v>
      </c>
      <c r="U38" s="223">
        <f>'CF 2028'!I38</f>
        <v>0</v>
      </c>
      <c r="V38" s="357"/>
    </row>
    <row r="39" spans="1:22" x14ac:dyDescent="0.3">
      <c r="B39" s="360" t="s">
        <v>121</v>
      </c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223">
        <f>'CF 2028'!G39</f>
        <v>0</v>
      </c>
      <c r="T39" s="223">
        <f>'CF 2028'!H39</f>
        <v>0</v>
      </c>
      <c r="U39" s="223">
        <f>'CF 2028'!I39</f>
        <v>0</v>
      </c>
      <c r="V39" s="357"/>
    </row>
    <row r="40" spans="1:22" x14ac:dyDescent="0.3">
      <c r="B40" s="356" t="s">
        <v>166</v>
      </c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223">
        <f>'CF 2028'!G40</f>
        <v>0</v>
      </c>
      <c r="T40" s="223">
        <f>'CF 2028'!H40</f>
        <v>0</v>
      </c>
      <c r="U40" s="223">
        <f>'CF 2028'!I40</f>
        <v>0</v>
      </c>
      <c r="V40" s="357"/>
    </row>
    <row r="41" spans="1:22" x14ac:dyDescent="0.3">
      <c r="B41" s="360" t="s">
        <v>121</v>
      </c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223">
        <f>'CF 2028'!G41</f>
        <v>0</v>
      </c>
      <c r="T41" s="223">
        <f>'CF 2028'!H41</f>
        <v>0</v>
      </c>
      <c r="U41" s="223">
        <f>'CF 2028'!I41</f>
        <v>0</v>
      </c>
      <c r="V41" s="357"/>
    </row>
    <row r="42" spans="1:22" x14ac:dyDescent="0.3">
      <c r="B42" s="356" t="s">
        <v>52</v>
      </c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223">
        <f>'CF 2028'!G42</f>
        <v>0</v>
      </c>
      <c r="T42" s="223">
        <f>'CF 2028'!H42</f>
        <v>0</v>
      </c>
      <c r="U42" s="223">
        <f>'CF 2028'!I42</f>
        <v>0</v>
      </c>
      <c r="V42" s="357"/>
    </row>
    <row r="43" spans="1:22" x14ac:dyDescent="0.3">
      <c r="B43" s="356" t="s">
        <v>167</v>
      </c>
      <c r="C43" s="357"/>
      <c r="D43" s="357"/>
      <c r="E43" s="357"/>
      <c r="F43" s="357"/>
      <c r="G43" s="223">
        <f>SUM(G30:G42)</f>
        <v>0</v>
      </c>
      <c r="H43" s="223">
        <f t="shared" ref="H43:R43" si="5">SUM(H30:H42)</f>
        <v>0</v>
      </c>
      <c r="I43" s="223">
        <f t="shared" si="5"/>
        <v>0</v>
      </c>
      <c r="J43" s="223">
        <f t="shared" si="5"/>
        <v>0</v>
      </c>
      <c r="K43" s="223">
        <f t="shared" si="5"/>
        <v>0</v>
      </c>
      <c r="L43" s="223">
        <f t="shared" si="5"/>
        <v>0</v>
      </c>
      <c r="M43" s="223">
        <f t="shared" si="5"/>
        <v>0</v>
      </c>
      <c r="N43" s="223">
        <f t="shared" si="5"/>
        <v>0</v>
      </c>
      <c r="O43" s="223">
        <f t="shared" si="5"/>
        <v>0</v>
      </c>
      <c r="P43" s="223">
        <f t="shared" si="5"/>
        <v>0</v>
      </c>
      <c r="Q43" s="223">
        <f t="shared" si="5"/>
        <v>0</v>
      </c>
      <c r="R43" s="223">
        <f t="shared" si="5"/>
        <v>0</v>
      </c>
      <c r="S43" s="223">
        <f>'CF 2028'!G43</f>
        <v>0</v>
      </c>
      <c r="T43" s="223">
        <f>'CF 2028'!H43</f>
        <v>0</v>
      </c>
      <c r="U43" s="223">
        <f>'CF 2028'!I43</f>
        <v>0</v>
      </c>
      <c r="V43" s="357"/>
    </row>
    <row r="44" spans="1:22" x14ac:dyDescent="0.3">
      <c r="B44" s="367" t="s">
        <v>168</v>
      </c>
      <c r="C44" s="368"/>
      <c r="D44" s="368"/>
      <c r="E44" s="368"/>
      <c r="F44" s="368"/>
      <c r="G44" s="374">
        <f>G53</f>
        <v>719816.4</v>
      </c>
      <c r="H44" s="374">
        <f>H23+H43</f>
        <v>737144.4</v>
      </c>
      <c r="I44" s="374">
        <f>I23+I43</f>
        <v>742356.4</v>
      </c>
      <c r="J44" s="374">
        <f>J23+J43</f>
        <v>747264.4</v>
      </c>
      <c r="K44" s="374">
        <f t="shared" ref="K44:U44" si="6">K23+K43</f>
        <v>752100.4</v>
      </c>
      <c r="L44" s="374">
        <f t="shared" si="6"/>
        <v>757008.4</v>
      </c>
      <c r="M44" s="374">
        <f t="shared" si="6"/>
        <v>762220.4</v>
      </c>
      <c r="N44" s="374">
        <f t="shared" si="6"/>
        <v>781004.4</v>
      </c>
      <c r="O44" s="374">
        <f t="shared" si="6"/>
        <v>786904.4</v>
      </c>
      <c r="P44" s="374">
        <f t="shared" si="6"/>
        <v>792348.4</v>
      </c>
      <c r="Q44" s="374">
        <f t="shared" si="6"/>
        <v>802972.4</v>
      </c>
      <c r="R44" s="374">
        <f t="shared" si="6"/>
        <v>807025.6</v>
      </c>
      <c r="S44" s="374">
        <f t="shared" si="6"/>
        <v>813804.4</v>
      </c>
      <c r="T44" s="374">
        <f t="shared" si="6"/>
        <v>819016.4</v>
      </c>
      <c r="U44" s="374">
        <f t="shared" si="6"/>
        <v>840060.4</v>
      </c>
      <c r="V44" s="374">
        <f>SUM(G44:R44)</f>
        <v>9188166.0000000019</v>
      </c>
    </row>
    <row r="45" spans="1:22" x14ac:dyDescent="0.3">
      <c r="A45" s="154"/>
      <c r="B45" s="181" t="s">
        <v>169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</row>
    <row r="46" spans="1:22" x14ac:dyDescent="0.3">
      <c r="B46" s="370" t="s">
        <v>160</v>
      </c>
      <c r="C46" s="370"/>
      <c r="D46" s="370"/>
      <c r="E46" s="370"/>
      <c r="F46" s="370"/>
      <c r="G46" s="375">
        <f>G28</f>
        <v>0</v>
      </c>
      <c r="H46" s="375">
        <f t="shared" ref="H46:U46" si="7">H28</f>
        <v>0</v>
      </c>
      <c r="I46" s="375">
        <f t="shared" si="7"/>
        <v>0</v>
      </c>
      <c r="J46" s="375">
        <f t="shared" si="7"/>
        <v>0</v>
      </c>
      <c r="K46" s="375">
        <f t="shared" si="7"/>
        <v>0</v>
      </c>
      <c r="L46" s="375">
        <f t="shared" si="7"/>
        <v>0</v>
      </c>
      <c r="M46" s="375">
        <f t="shared" si="7"/>
        <v>0</v>
      </c>
      <c r="N46" s="375">
        <f t="shared" si="7"/>
        <v>0</v>
      </c>
      <c r="O46" s="375">
        <f t="shared" si="7"/>
        <v>0</v>
      </c>
      <c r="P46" s="375">
        <f t="shared" si="7"/>
        <v>0</v>
      </c>
      <c r="Q46" s="375">
        <f t="shared" si="7"/>
        <v>0</v>
      </c>
      <c r="R46" s="375">
        <f t="shared" si="7"/>
        <v>0</v>
      </c>
      <c r="S46" s="375">
        <f t="shared" si="7"/>
        <v>0</v>
      </c>
      <c r="T46" s="375">
        <f t="shared" si="7"/>
        <v>0</v>
      </c>
      <c r="U46" s="375">
        <f t="shared" si="7"/>
        <v>0</v>
      </c>
    </row>
    <row r="47" spans="1:22" x14ac:dyDescent="0.3">
      <c r="B47" s="157" t="s">
        <v>167</v>
      </c>
      <c r="C47" s="157"/>
      <c r="D47" s="157"/>
      <c r="E47" s="157"/>
      <c r="F47" s="157"/>
      <c r="G47" s="158">
        <f>G43</f>
        <v>0</v>
      </c>
      <c r="H47" s="158">
        <f t="shared" ref="H47:U47" si="8">H43</f>
        <v>0</v>
      </c>
      <c r="I47" s="158">
        <f t="shared" si="8"/>
        <v>0</v>
      </c>
      <c r="J47" s="158">
        <f t="shared" si="8"/>
        <v>0</v>
      </c>
      <c r="K47" s="158">
        <f t="shared" si="8"/>
        <v>0</v>
      </c>
      <c r="L47" s="158">
        <f t="shared" si="8"/>
        <v>0</v>
      </c>
      <c r="M47" s="158">
        <f t="shared" si="8"/>
        <v>0</v>
      </c>
      <c r="N47" s="158">
        <f t="shared" si="8"/>
        <v>0</v>
      </c>
      <c r="O47" s="158">
        <f t="shared" si="8"/>
        <v>0</v>
      </c>
      <c r="P47" s="158">
        <f t="shared" si="8"/>
        <v>0</v>
      </c>
      <c r="Q47" s="158">
        <f t="shared" si="8"/>
        <v>0</v>
      </c>
      <c r="R47" s="158">
        <f t="shared" si="8"/>
        <v>0</v>
      </c>
      <c r="S47" s="158">
        <f t="shared" si="8"/>
        <v>0</v>
      </c>
      <c r="T47" s="158">
        <f t="shared" si="8"/>
        <v>0</v>
      </c>
      <c r="U47" s="158">
        <f t="shared" si="8"/>
        <v>0</v>
      </c>
    </row>
    <row r="48" spans="1:22" x14ac:dyDescent="0.3">
      <c r="B48" s="157" t="s">
        <v>44</v>
      </c>
      <c r="C48" s="157"/>
      <c r="D48" s="157"/>
      <c r="E48" s="157"/>
      <c r="F48" s="157"/>
      <c r="G48" s="158">
        <f t="shared" ref="G48:U48" si="9">G11</f>
        <v>883175</v>
      </c>
      <c r="H48" s="158">
        <f t="shared" si="9"/>
        <v>904835</v>
      </c>
      <c r="I48" s="158">
        <f t="shared" si="9"/>
        <v>911350</v>
      </c>
      <c r="J48" s="158">
        <f t="shared" si="9"/>
        <v>917485</v>
      </c>
      <c r="K48" s="158">
        <f t="shared" si="9"/>
        <v>923530</v>
      </c>
      <c r="L48" s="158">
        <f t="shared" si="9"/>
        <v>929665</v>
      </c>
      <c r="M48" s="158">
        <f t="shared" si="9"/>
        <v>936180</v>
      </c>
      <c r="N48" s="158">
        <f t="shared" si="9"/>
        <v>959660</v>
      </c>
      <c r="O48" s="158">
        <f t="shared" si="9"/>
        <v>967035</v>
      </c>
      <c r="P48" s="158">
        <f t="shared" si="9"/>
        <v>973840</v>
      </c>
      <c r="Q48" s="158">
        <f t="shared" si="9"/>
        <v>987120</v>
      </c>
      <c r="R48" s="158">
        <f t="shared" si="9"/>
        <v>994995</v>
      </c>
      <c r="S48" s="158">
        <f t="shared" si="9"/>
        <v>1000660</v>
      </c>
      <c r="T48" s="158">
        <f t="shared" si="9"/>
        <v>1007175</v>
      </c>
      <c r="U48" s="158">
        <f t="shared" si="9"/>
        <v>1032005</v>
      </c>
    </row>
    <row r="49" spans="1:22" x14ac:dyDescent="0.3">
      <c r="B49" s="157" t="s">
        <v>45</v>
      </c>
      <c r="C49" s="157"/>
      <c r="D49" s="157"/>
      <c r="E49" s="157"/>
      <c r="F49" s="157"/>
      <c r="G49" s="158">
        <f>G18</f>
        <v>-625</v>
      </c>
      <c r="H49" s="158">
        <f t="shared" ref="H49:U49" si="10">H18</f>
        <v>-625</v>
      </c>
      <c r="I49" s="158">
        <f t="shared" si="10"/>
        <v>-625</v>
      </c>
      <c r="J49" s="158">
        <f t="shared" si="10"/>
        <v>-625</v>
      </c>
      <c r="K49" s="158">
        <f t="shared" si="10"/>
        <v>-625</v>
      </c>
      <c r="L49" s="158">
        <f t="shared" si="10"/>
        <v>-625</v>
      </c>
      <c r="M49" s="158">
        <f t="shared" si="10"/>
        <v>-625</v>
      </c>
      <c r="N49" s="158">
        <f t="shared" si="10"/>
        <v>-625</v>
      </c>
      <c r="O49" s="158">
        <f t="shared" si="10"/>
        <v>-625</v>
      </c>
      <c r="P49" s="158">
        <f t="shared" si="10"/>
        <v>-625</v>
      </c>
      <c r="Q49" s="158">
        <f t="shared" si="10"/>
        <v>-625</v>
      </c>
      <c r="R49" s="158">
        <f t="shared" si="10"/>
        <v>-625</v>
      </c>
      <c r="S49" s="158">
        <f t="shared" si="10"/>
        <v>-625</v>
      </c>
      <c r="T49" s="158">
        <f t="shared" si="10"/>
        <v>-625</v>
      </c>
      <c r="U49" s="158">
        <f t="shared" si="10"/>
        <v>-625</v>
      </c>
    </row>
    <row r="50" spans="1:22" x14ac:dyDescent="0.3">
      <c r="B50" s="157" t="s">
        <v>170</v>
      </c>
      <c r="C50" s="157"/>
      <c r="D50" s="157"/>
      <c r="E50" s="157"/>
      <c r="F50" s="157"/>
      <c r="G50" s="158">
        <f>SUM(G46:G49)</f>
        <v>882550</v>
      </c>
      <c r="H50" s="158">
        <f t="shared" ref="H50:U50" si="11">SUM(H46:H49)</f>
        <v>904210</v>
      </c>
      <c r="I50" s="158">
        <f t="shared" si="11"/>
        <v>910725</v>
      </c>
      <c r="J50" s="158">
        <f t="shared" si="11"/>
        <v>916860</v>
      </c>
      <c r="K50" s="158">
        <f t="shared" si="11"/>
        <v>922905</v>
      </c>
      <c r="L50" s="158">
        <f t="shared" si="11"/>
        <v>929040</v>
      </c>
      <c r="M50" s="158">
        <f t="shared" si="11"/>
        <v>935555</v>
      </c>
      <c r="N50" s="158">
        <f t="shared" si="11"/>
        <v>959035</v>
      </c>
      <c r="O50" s="158">
        <f t="shared" si="11"/>
        <v>966410</v>
      </c>
      <c r="P50" s="158">
        <f t="shared" si="11"/>
        <v>973215</v>
      </c>
      <c r="Q50" s="158">
        <f t="shared" si="11"/>
        <v>986495</v>
      </c>
      <c r="R50" s="158">
        <f t="shared" si="11"/>
        <v>994370</v>
      </c>
      <c r="S50" s="158">
        <f t="shared" si="11"/>
        <v>1000035</v>
      </c>
      <c r="T50" s="158">
        <f t="shared" si="11"/>
        <v>1006550</v>
      </c>
      <c r="U50" s="158">
        <f t="shared" si="11"/>
        <v>1031380</v>
      </c>
    </row>
    <row r="51" spans="1:22" x14ac:dyDescent="0.3">
      <c r="B51" s="157" t="s">
        <v>153</v>
      </c>
      <c r="C51" s="157"/>
      <c r="D51" s="157"/>
      <c r="E51" s="157"/>
      <c r="F51" s="157"/>
      <c r="G51" s="158">
        <f>G19</f>
        <v>0</v>
      </c>
      <c r="H51" s="158">
        <f t="shared" ref="H51:U51" si="12">H19</f>
        <v>0</v>
      </c>
      <c r="I51" s="158">
        <f t="shared" si="12"/>
        <v>0</v>
      </c>
      <c r="J51" s="158">
        <f t="shared" si="12"/>
        <v>0</v>
      </c>
      <c r="K51" s="158">
        <f t="shared" si="12"/>
        <v>0</v>
      </c>
      <c r="L51" s="158">
        <f t="shared" si="12"/>
        <v>0</v>
      </c>
      <c r="M51" s="158">
        <f t="shared" si="12"/>
        <v>0</v>
      </c>
      <c r="N51" s="158">
        <f t="shared" si="12"/>
        <v>0</v>
      </c>
      <c r="O51" s="158">
        <f t="shared" si="12"/>
        <v>0</v>
      </c>
      <c r="P51" s="158">
        <f t="shared" si="12"/>
        <v>0</v>
      </c>
      <c r="Q51" s="158">
        <f t="shared" si="12"/>
        <v>0</v>
      </c>
      <c r="R51" s="158">
        <f t="shared" si="12"/>
        <v>0</v>
      </c>
      <c r="S51" s="158">
        <f t="shared" si="12"/>
        <v>0</v>
      </c>
      <c r="T51" s="158">
        <f t="shared" si="12"/>
        <v>0</v>
      </c>
      <c r="U51" s="158">
        <f t="shared" si="12"/>
        <v>0</v>
      </c>
    </row>
    <row r="52" spans="1:22" x14ac:dyDescent="0.3">
      <c r="B52" s="157" t="s">
        <v>154</v>
      </c>
      <c r="C52" s="157"/>
      <c r="D52" s="157"/>
      <c r="E52" s="157"/>
      <c r="F52" s="157"/>
      <c r="G52" s="377">
        <f>G20</f>
        <v>-162733.6</v>
      </c>
      <c r="H52" s="377">
        <f t="shared" ref="H52:U52" si="13">H20</f>
        <v>-167065.60000000001</v>
      </c>
      <c r="I52" s="377">
        <f t="shared" si="13"/>
        <v>-168368.6</v>
      </c>
      <c r="J52" s="377">
        <f t="shared" si="13"/>
        <v>-169595.6</v>
      </c>
      <c r="K52" s="377">
        <f t="shared" si="13"/>
        <v>-170804.6</v>
      </c>
      <c r="L52" s="377">
        <f t="shared" si="13"/>
        <v>-172031.6</v>
      </c>
      <c r="M52" s="377">
        <f t="shared" si="13"/>
        <v>-173334.6</v>
      </c>
      <c r="N52" s="377">
        <f t="shared" si="13"/>
        <v>-178030.6</v>
      </c>
      <c r="O52" s="377">
        <f t="shared" si="13"/>
        <v>-179505.6</v>
      </c>
      <c r="P52" s="377">
        <f t="shared" si="13"/>
        <v>-180866.6</v>
      </c>
      <c r="Q52" s="377">
        <f t="shared" si="13"/>
        <v>-183522.6</v>
      </c>
      <c r="R52" s="377">
        <f t="shared" si="13"/>
        <v>-187344.40000000002</v>
      </c>
      <c r="S52" s="377">
        <f t="shared" si="13"/>
        <v>-190594.6</v>
      </c>
      <c r="T52" s="377">
        <f t="shared" si="13"/>
        <v>-191897.60000000001</v>
      </c>
      <c r="U52" s="377">
        <f t="shared" si="13"/>
        <v>-196863.6</v>
      </c>
    </row>
    <row r="53" spans="1:22" x14ac:dyDescent="0.3">
      <c r="B53" s="157" t="s">
        <v>168</v>
      </c>
      <c r="C53" s="157"/>
      <c r="D53" s="157"/>
      <c r="E53" s="157"/>
      <c r="F53" s="157"/>
      <c r="G53" s="158">
        <f>SUM(G50:G52)</f>
        <v>719816.4</v>
      </c>
      <c r="H53" s="158">
        <f>SUM(H50:H52)</f>
        <v>737144.4</v>
      </c>
      <c r="I53" s="158">
        <f t="shared" ref="I53:U53" si="14">SUM(I50:I52)</f>
        <v>742356.4</v>
      </c>
      <c r="J53" s="158">
        <f t="shared" si="14"/>
        <v>747264.4</v>
      </c>
      <c r="K53" s="158">
        <f t="shared" si="14"/>
        <v>752100.4</v>
      </c>
      <c r="L53" s="158">
        <f t="shared" si="14"/>
        <v>757008.4</v>
      </c>
      <c r="M53" s="158">
        <f t="shared" si="14"/>
        <v>762220.4</v>
      </c>
      <c r="N53" s="158">
        <f t="shared" si="14"/>
        <v>781004.4</v>
      </c>
      <c r="O53" s="158">
        <f t="shared" si="14"/>
        <v>786904.4</v>
      </c>
      <c r="P53" s="158">
        <f t="shared" si="14"/>
        <v>792348.4</v>
      </c>
      <c r="Q53" s="158">
        <f t="shared" si="14"/>
        <v>802972.4</v>
      </c>
      <c r="R53" s="158">
        <f t="shared" si="14"/>
        <v>807025.6</v>
      </c>
      <c r="S53" s="158">
        <f t="shared" si="14"/>
        <v>809440.4</v>
      </c>
      <c r="T53" s="158">
        <f t="shared" si="14"/>
        <v>814652.4</v>
      </c>
      <c r="U53" s="158">
        <f t="shared" si="14"/>
        <v>834516.4</v>
      </c>
    </row>
    <row r="54" spans="1:22" x14ac:dyDescent="0.3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2" x14ac:dyDescent="0.3">
      <c r="A55" s="154"/>
      <c r="B55" s="181" t="s">
        <v>171</v>
      </c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</row>
    <row r="56" spans="1:22" x14ac:dyDescent="0.3">
      <c r="B56" s="357" t="s">
        <v>172</v>
      </c>
      <c r="C56" s="357"/>
      <c r="D56" s="357"/>
      <c r="E56" s="357"/>
      <c r="F56" s="357"/>
      <c r="G56" s="223">
        <f>SUM(G23+G28)</f>
        <v>719816.4</v>
      </c>
      <c r="H56" s="223">
        <f t="shared" ref="H56:U56" si="15">SUM(H23+H28)</f>
        <v>737144.4</v>
      </c>
      <c r="I56" s="223">
        <f t="shared" si="15"/>
        <v>742356.4</v>
      </c>
      <c r="J56" s="223">
        <f t="shared" si="15"/>
        <v>747264.4</v>
      </c>
      <c r="K56" s="223">
        <f t="shared" si="15"/>
        <v>752100.4</v>
      </c>
      <c r="L56" s="223">
        <f t="shared" si="15"/>
        <v>757008.4</v>
      </c>
      <c r="M56" s="223">
        <f t="shared" si="15"/>
        <v>762220.4</v>
      </c>
      <c r="N56" s="223">
        <f t="shared" si="15"/>
        <v>781004.4</v>
      </c>
      <c r="O56" s="223">
        <f t="shared" si="15"/>
        <v>786904.4</v>
      </c>
      <c r="P56" s="223">
        <f t="shared" si="15"/>
        <v>792348.4</v>
      </c>
      <c r="Q56" s="223">
        <f t="shared" si="15"/>
        <v>802972.4</v>
      </c>
      <c r="R56" s="223">
        <f t="shared" si="15"/>
        <v>807025.6</v>
      </c>
      <c r="S56" s="223">
        <f t="shared" si="15"/>
        <v>813804.4</v>
      </c>
      <c r="T56" s="223">
        <f t="shared" si="15"/>
        <v>819016.4</v>
      </c>
      <c r="U56" s="223">
        <f t="shared" si="15"/>
        <v>840060.4</v>
      </c>
    </row>
    <row r="57" spans="1:22" x14ac:dyDescent="0.3">
      <c r="B57" s="357" t="s">
        <v>173</v>
      </c>
      <c r="C57" s="357"/>
      <c r="D57" s="357"/>
      <c r="E57" s="357"/>
      <c r="F57" s="357"/>
      <c r="G57" s="223">
        <f>G53</f>
        <v>719816.4</v>
      </c>
      <c r="H57" s="223">
        <f t="shared" ref="H57:U57" si="16">H53</f>
        <v>737144.4</v>
      </c>
      <c r="I57" s="223">
        <f t="shared" si="16"/>
        <v>742356.4</v>
      </c>
      <c r="J57" s="223">
        <f t="shared" si="16"/>
        <v>747264.4</v>
      </c>
      <c r="K57" s="223">
        <f t="shared" si="16"/>
        <v>752100.4</v>
      </c>
      <c r="L57" s="223">
        <f t="shared" si="16"/>
        <v>757008.4</v>
      </c>
      <c r="M57" s="223">
        <f t="shared" si="16"/>
        <v>762220.4</v>
      </c>
      <c r="N57" s="223">
        <f t="shared" si="16"/>
        <v>781004.4</v>
      </c>
      <c r="O57" s="223">
        <f t="shared" si="16"/>
        <v>786904.4</v>
      </c>
      <c r="P57" s="223">
        <f t="shared" si="16"/>
        <v>792348.4</v>
      </c>
      <c r="Q57" s="223">
        <f t="shared" si="16"/>
        <v>802972.4</v>
      </c>
      <c r="R57" s="223">
        <f t="shared" si="16"/>
        <v>807025.6</v>
      </c>
      <c r="S57" s="223">
        <f t="shared" si="16"/>
        <v>809440.4</v>
      </c>
      <c r="T57" s="223">
        <f t="shared" si="16"/>
        <v>814652.4</v>
      </c>
      <c r="U57" s="223">
        <f t="shared" si="16"/>
        <v>834516.4</v>
      </c>
    </row>
    <row r="58" spans="1:22" x14ac:dyDescent="0.3">
      <c r="B58" s="357" t="s">
        <v>174</v>
      </c>
      <c r="C58" s="357"/>
      <c r="D58" s="357"/>
      <c r="E58" s="357"/>
      <c r="F58" s="357"/>
      <c r="G58" s="223">
        <f>G53</f>
        <v>719816.4</v>
      </c>
      <c r="H58" s="223">
        <f t="shared" ref="H58:T58" si="17">H53</f>
        <v>737144.4</v>
      </c>
      <c r="I58" s="223">
        <f t="shared" si="17"/>
        <v>742356.4</v>
      </c>
      <c r="J58" s="223">
        <f t="shared" si="17"/>
        <v>747264.4</v>
      </c>
      <c r="K58" s="223">
        <f t="shared" si="17"/>
        <v>752100.4</v>
      </c>
      <c r="L58" s="223">
        <f t="shared" si="17"/>
        <v>757008.4</v>
      </c>
      <c r="M58" s="223">
        <f t="shared" si="17"/>
        <v>762220.4</v>
      </c>
      <c r="N58" s="223">
        <f t="shared" si="17"/>
        <v>781004.4</v>
      </c>
      <c r="O58" s="223">
        <f t="shared" si="17"/>
        <v>786904.4</v>
      </c>
      <c r="P58" s="223">
        <f t="shared" si="17"/>
        <v>792348.4</v>
      </c>
      <c r="Q58" s="223">
        <f t="shared" si="17"/>
        <v>802972.4</v>
      </c>
      <c r="R58" s="223">
        <f t="shared" si="17"/>
        <v>807025.6</v>
      </c>
      <c r="S58" s="223">
        <f t="shared" si="17"/>
        <v>809440.4</v>
      </c>
      <c r="T58" s="223">
        <f t="shared" si="17"/>
        <v>814652.4</v>
      </c>
      <c r="U58" s="223">
        <f>U53</f>
        <v>834516.4</v>
      </c>
    </row>
    <row r="59" spans="1:22" x14ac:dyDescent="0.3">
      <c r="B59" s="357" t="s">
        <v>166</v>
      </c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357"/>
      <c r="O59" s="357"/>
      <c r="P59" s="357"/>
      <c r="Q59" s="357"/>
      <c r="R59" s="357"/>
      <c r="S59" s="357"/>
      <c r="T59" s="357"/>
      <c r="U59" s="357"/>
    </row>
    <row r="60" spans="1:22" x14ac:dyDescent="0.3">
      <c r="B60" s="357" t="s">
        <v>168</v>
      </c>
      <c r="C60" s="357"/>
      <c r="D60" s="357"/>
      <c r="E60" s="357"/>
      <c r="F60" s="357"/>
      <c r="G60" s="223">
        <f>G53</f>
        <v>719816.4</v>
      </c>
      <c r="H60" s="223">
        <f t="shared" ref="H60:U60" si="18">H53</f>
        <v>737144.4</v>
      </c>
      <c r="I60" s="223">
        <f t="shared" si="18"/>
        <v>742356.4</v>
      </c>
      <c r="J60" s="223">
        <f t="shared" si="18"/>
        <v>747264.4</v>
      </c>
      <c r="K60" s="223">
        <f t="shared" si="18"/>
        <v>752100.4</v>
      </c>
      <c r="L60" s="223">
        <f t="shared" si="18"/>
        <v>757008.4</v>
      </c>
      <c r="M60" s="223">
        <f t="shared" si="18"/>
        <v>762220.4</v>
      </c>
      <c r="N60" s="223">
        <f t="shared" si="18"/>
        <v>781004.4</v>
      </c>
      <c r="O60" s="223">
        <f t="shared" si="18"/>
        <v>786904.4</v>
      </c>
      <c r="P60" s="223">
        <f t="shared" si="18"/>
        <v>792348.4</v>
      </c>
      <c r="Q60" s="223">
        <f t="shared" si="18"/>
        <v>802972.4</v>
      </c>
      <c r="R60" s="223">
        <f t="shared" si="18"/>
        <v>807025.6</v>
      </c>
      <c r="S60" s="223">
        <f t="shared" si="18"/>
        <v>809440.4</v>
      </c>
      <c r="T60" s="223">
        <f t="shared" si="18"/>
        <v>814652.4</v>
      </c>
      <c r="U60" s="223">
        <f t="shared" si="18"/>
        <v>834516.4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4A24-3A83-4632-9DE4-F4465BA5D8E1}">
  <sheetPr codeName="Sheet31"/>
  <dimension ref="A1:Y620"/>
  <sheetViews>
    <sheetView showGridLines="0" workbookViewId="0">
      <selection activeCell="R5" sqref="R5:T5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8" width="10.21875" customWidth="1"/>
    <col min="9" max="9" width="10.44140625" customWidth="1"/>
    <col min="10" max="10" width="9.6640625" customWidth="1"/>
    <col min="11" max="11" width="10" customWidth="1"/>
    <col min="12" max="12" width="9.88671875" customWidth="1"/>
    <col min="13" max="14" width="10" customWidth="1"/>
    <col min="15" max="15" width="10.109375" customWidth="1"/>
    <col min="16" max="16" width="9.77734375" customWidth="1"/>
    <col min="17" max="17" width="10.44140625" customWidth="1"/>
    <col min="18" max="18" width="9.88671875" bestFit="1" customWidth="1"/>
    <col min="19" max="19" width="10" customWidth="1"/>
    <col min="20" max="20" width="9.88671875" customWidth="1"/>
    <col min="21" max="21" width="11.21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175</v>
      </c>
      <c r="F2"/>
    </row>
    <row r="3" spans="1:25" x14ac:dyDescent="0.3">
      <c r="B3" t="s">
        <v>145</v>
      </c>
      <c r="F3"/>
    </row>
    <row r="4" spans="1:25" x14ac:dyDescent="0.3">
      <c r="F4"/>
    </row>
    <row r="5" spans="1:25" x14ac:dyDescent="0.3">
      <c r="A5" s="154"/>
      <c r="B5" s="181" t="s">
        <v>176</v>
      </c>
      <c r="C5" s="154"/>
      <c r="D5" s="154"/>
      <c r="E5" s="154"/>
      <c r="F5" s="213">
        <v>2027</v>
      </c>
      <c r="G5" s="213">
        <v>2027</v>
      </c>
      <c r="H5" s="213">
        <v>2027</v>
      </c>
      <c r="I5" s="213">
        <v>2027</v>
      </c>
      <c r="J5" s="213">
        <v>2027</v>
      </c>
      <c r="K5" s="213">
        <v>2027</v>
      </c>
      <c r="L5" s="213">
        <v>2027</v>
      </c>
      <c r="M5" s="213">
        <v>2027</v>
      </c>
      <c r="N5" s="213">
        <v>2027</v>
      </c>
      <c r="O5" s="213">
        <v>2027</v>
      </c>
      <c r="P5" s="213">
        <v>2027</v>
      </c>
      <c r="Q5" s="213">
        <v>2027</v>
      </c>
      <c r="R5" s="213">
        <v>2028</v>
      </c>
      <c r="S5" s="213">
        <v>2028</v>
      </c>
      <c r="T5" s="213">
        <v>2028</v>
      </c>
      <c r="U5" s="154"/>
    </row>
    <row r="6" spans="1:25" ht="15" thickBot="1" x14ac:dyDescent="0.35">
      <c r="A6" s="166"/>
      <c r="B6" s="167" t="s">
        <v>70</v>
      </c>
      <c r="C6" s="155"/>
      <c r="D6" s="155"/>
      <c r="E6" s="155"/>
      <c r="F6" s="212" t="s">
        <v>32</v>
      </c>
      <c r="G6" s="212" t="s">
        <v>33</v>
      </c>
      <c r="H6" s="212" t="s">
        <v>34</v>
      </c>
      <c r="I6" s="212" t="s">
        <v>35</v>
      </c>
      <c r="J6" s="212" t="s">
        <v>36</v>
      </c>
      <c r="K6" s="212" t="s">
        <v>37</v>
      </c>
      <c r="L6" s="212" t="s">
        <v>38</v>
      </c>
      <c r="M6" s="212" t="s">
        <v>39</v>
      </c>
      <c r="N6" s="212" t="s">
        <v>40</v>
      </c>
      <c r="O6" s="212" t="s">
        <v>41</v>
      </c>
      <c r="P6" s="212" t="s">
        <v>42</v>
      </c>
      <c r="Q6" s="212" t="s">
        <v>43</v>
      </c>
      <c r="R6" s="212" t="s">
        <v>32</v>
      </c>
      <c r="S6" s="212" t="s">
        <v>33</v>
      </c>
      <c r="T6" s="212" t="s">
        <v>34</v>
      </c>
      <c r="U6" s="209" t="s">
        <v>78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6" t="s">
        <v>310</v>
      </c>
      <c r="F8"/>
    </row>
    <row r="9" spans="1:25" x14ac:dyDescent="0.3">
      <c r="C9" s="177"/>
      <c r="F9"/>
    </row>
    <row r="10" spans="1:25" x14ac:dyDescent="0.3">
      <c r="C10" s="176" t="s">
        <v>55</v>
      </c>
      <c r="F10"/>
      <c r="G10" s="178"/>
      <c r="H10" s="178"/>
      <c r="I10" s="178"/>
      <c r="J10" s="178"/>
      <c r="K10" s="178"/>
      <c r="L10" s="177"/>
      <c r="M10" s="178"/>
      <c r="N10" s="178"/>
      <c r="O10" s="178"/>
      <c r="P10" s="178"/>
      <c r="Q10" s="178"/>
      <c r="R10" s="178"/>
      <c r="S10" s="178"/>
      <c r="T10" s="178"/>
      <c r="V10" s="1"/>
    </row>
    <row r="11" spans="1:25" x14ac:dyDescent="0.3">
      <c r="C11" s="177" t="s">
        <v>177</v>
      </c>
      <c r="F11" s="178">
        <f>'BS 2026'!Q14+'CF 2027'!G44</f>
        <v>13869805.3872</v>
      </c>
      <c r="G11" s="178">
        <f>F14+'CF 2027'!H44</f>
        <v>14606949.7872</v>
      </c>
      <c r="H11" s="178">
        <f>G14+'CF 2027'!I44</f>
        <v>15349306.187200001</v>
      </c>
      <c r="I11" s="178">
        <f>H14+'CF 2027'!J44</f>
        <v>16096570.587200001</v>
      </c>
      <c r="J11" s="178">
        <f>I14+'CF 2027'!K44</f>
        <v>16848670.987199999</v>
      </c>
      <c r="K11" s="178">
        <f>J14+'CF 2027'!L44</f>
        <v>17605679.387199998</v>
      </c>
      <c r="L11" s="178">
        <f>K14+'CF 2027'!M44</f>
        <v>18367899.787199996</v>
      </c>
      <c r="M11" s="178">
        <f>L14+'CF 2027'!N44</f>
        <v>19148904.187199995</v>
      </c>
      <c r="N11" s="178">
        <f>M14+'CF 2027'!O44</f>
        <v>19935808.587199993</v>
      </c>
      <c r="O11" s="178">
        <f>N14+'CF 2027'!P44</f>
        <v>20728156.987199992</v>
      </c>
      <c r="P11" s="178">
        <f>O14+'CF 2027'!Q44</f>
        <v>21531129.38719999</v>
      </c>
      <c r="Q11" s="178">
        <f>P14+'CF 2027'!R44</f>
        <v>22338154.987199992</v>
      </c>
      <c r="R11" s="178">
        <f>'BS 2028'!F11</f>
        <v>23151959.38719999</v>
      </c>
      <c r="S11" s="178">
        <f>'BS 2028'!G11</f>
        <v>23970975.787199989</v>
      </c>
      <c r="T11" s="178">
        <f>'BS 2028'!H11</f>
        <v>24811036.187199987</v>
      </c>
      <c r="V11" s="1"/>
    </row>
    <row r="12" spans="1:25" x14ac:dyDescent="0.3">
      <c r="C12" s="177" t="s">
        <v>178</v>
      </c>
      <c r="F12" s="178"/>
      <c r="G12" s="177"/>
      <c r="H12" s="177"/>
      <c r="I12" s="177" t="s">
        <v>195</v>
      </c>
      <c r="J12" s="177"/>
      <c r="K12" s="177" t="s">
        <v>195</v>
      </c>
      <c r="L12" s="177"/>
      <c r="M12" s="177"/>
      <c r="N12" s="177"/>
      <c r="O12" s="177"/>
      <c r="P12" s="177"/>
      <c r="Q12" s="177"/>
      <c r="R12" s="177"/>
      <c r="S12" s="177" t="s">
        <v>195</v>
      </c>
      <c r="T12" s="177" t="s">
        <v>195</v>
      </c>
      <c r="V12" s="1"/>
    </row>
    <row r="13" spans="1:25" x14ac:dyDescent="0.3">
      <c r="C13" s="177" t="s">
        <v>179</v>
      </c>
      <c r="F13"/>
      <c r="I13" s="178"/>
      <c r="K13" s="178"/>
      <c r="S13" s="178"/>
      <c r="T13" s="178"/>
      <c r="V13" s="1"/>
    </row>
    <row r="14" spans="1:25" x14ac:dyDescent="0.3">
      <c r="C14" s="177" t="s">
        <v>180</v>
      </c>
      <c r="F14" s="178">
        <f>SUM(F11:F13)</f>
        <v>13869805.3872</v>
      </c>
      <c r="G14" s="178">
        <f t="shared" ref="G14:Q14" si="0">SUM(G11:G13)</f>
        <v>14606949.7872</v>
      </c>
      <c r="H14" s="178">
        <f t="shared" si="0"/>
        <v>15349306.187200001</v>
      </c>
      <c r="I14" s="178">
        <f t="shared" si="0"/>
        <v>16096570.587200001</v>
      </c>
      <c r="J14" s="178">
        <f t="shared" si="0"/>
        <v>16848670.987199999</v>
      </c>
      <c r="K14" s="178">
        <f t="shared" si="0"/>
        <v>17605679.387199998</v>
      </c>
      <c r="L14" s="178">
        <f t="shared" si="0"/>
        <v>18367899.787199996</v>
      </c>
      <c r="M14" s="178">
        <f t="shared" si="0"/>
        <v>19148904.187199995</v>
      </c>
      <c r="N14" s="178">
        <f t="shared" si="0"/>
        <v>19935808.587199993</v>
      </c>
      <c r="O14" s="178">
        <f t="shared" si="0"/>
        <v>20728156.987199992</v>
      </c>
      <c r="P14" s="178">
        <f t="shared" si="0"/>
        <v>21531129.38719999</v>
      </c>
      <c r="Q14" s="178">
        <f t="shared" si="0"/>
        <v>22338154.987199992</v>
      </c>
      <c r="R14" s="178">
        <f t="shared" ref="R14" si="1">SUM(R11:R13)</f>
        <v>23151959.38719999</v>
      </c>
      <c r="S14" s="178">
        <f t="shared" ref="S14" si="2">SUM(S11:S13)</f>
        <v>23970975.787199989</v>
      </c>
      <c r="T14" s="178">
        <f t="shared" ref="T14" si="3">SUM(T11:T13)</f>
        <v>24811036.187199987</v>
      </c>
      <c r="U14" s="223">
        <f>SUM(F14:Q14)</f>
        <v>216427036.24639997</v>
      </c>
      <c r="V14" s="1"/>
    </row>
    <row r="15" spans="1:25" x14ac:dyDescent="0.3">
      <c r="C15" s="176" t="s">
        <v>56</v>
      </c>
      <c r="F15"/>
      <c r="G15" s="177"/>
      <c r="H15" s="177"/>
      <c r="I15" s="177"/>
      <c r="J15" s="180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V15" s="1"/>
    </row>
    <row r="16" spans="1:25" x14ac:dyDescent="0.3">
      <c r="C16" s="179" t="s">
        <v>181</v>
      </c>
      <c r="F16" s="178">
        <f>'BS 2026'!Q16-'IS 2027'!F58</f>
        <v>511392</v>
      </c>
      <c r="G16" s="178">
        <f>F16-'IS 2027'!G58</f>
        <v>513303</v>
      </c>
      <c r="H16" s="178">
        <f>G16-'IS 2027'!H58</f>
        <v>515214</v>
      </c>
      <c r="I16" s="178">
        <f>H16-'IS 2027'!I58</f>
        <v>516970</v>
      </c>
      <c r="J16" s="178">
        <f>I16-'IS 2027'!J58</f>
        <v>518726</v>
      </c>
      <c r="K16" s="178">
        <f>J16-'IS 2027'!K58</f>
        <v>520482</v>
      </c>
      <c r="L16" s="178">
        <f>K16-'IS 2027'!L58</f>
        <v>522238</v>
      </c>
      <c r="M16" s="178">
        <f>L16-'IS 2027'!M58</f>
        <v>523994</v>
      </c>
      <c r="N16" s="178">
        <f>M16-'IS 2027'!N58</f>
        <v>525750</v>
      </c>
      <c r="O16" s="178">
        <f>N16-'IS 2027'!O58</f>
        <v>527506</v>
      </c>
      <c r="P16" s="178">
        <f>O16-'IS 2027'!P58</f>
        <v>529262</v>
      </c>
      <c r="Q16" s="178">
        <f>P16-'IS 2027'!Q58</f>
        <v>531018</v>
      </c>
      <c r="R16" s="178">
        <f>'BS 2028'!F16</f>
        <v>532774</v>
      </c>
      <c r="S16" s="185">
        <f>R16-'IS 2026'!G60</f>
        <v>534624</v>
      </c>
      <c r="T16" s="185">
        <f>S16-'IS 2026'!H60</f>
        <v>536474</v>
      </c>
      <c r="V16" s="1"/>
    </row>
    <row r="17" spans="1:22" x14ac:dyDescent="0.3">
      <c r="C17" s="179" t="s">
        <v>182</v>
      </c>
      <c r="F17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V17" s="1"/>
    </row>
    <row r="18" spans="1:22" x14ac:dyDescent="0.3">
      <c r="C18" s="179" t="s">
        <v>183</v>
      </c>
      <c r="F18" s="185">
        <f>SUM(F16:F17)</f>
        <v>511392</v>
      </c>
      <c r="G18" s="185">
        <f t="shared" ref="G18:T19" si="4">SUM(G16:G17)</f>
        <v>513303</v>
      </c>
      <c r="H18" s="185">
        <f t="shared" si="4"/>
        <v>515214</v>
      </c>
      <c r="I18" s="185">
        <f t="shared" si="4"/>
        <v>516970</v>
      </c>
      <c r="J18" s="185">
        <f t="shared" si="4"/>
        <v>518726</v>
      </c>
      <c r="K18" s="185">
        <f t="shared" si="4"/>
        <v>520482</v>
      </c>
      <c r="L18" s="185">
        <f t="shared" si="4"/>
        <v>522238</v>
      </c>
      <c r="M18" s="185">
        <f t="shared" si="4"/>
        <v>523994</v>
      </c>
      <c r="N18" s="185">
        <f t="shared" si="4"/>
        <v>525750</v>
      </c>
      <c r="O18" s="185">
        <f t="shared" si="4"/>
        <v>527506</v>
      </c>
      <c r="P18" s="185">
        <f t="shared" si="4"/>
        <v>529262</v>
      </c>
      <c r="Q18" s="185">
        <f t="shared" si="4"/>
        <v>531018</v>
      </c>
      <c r="R18" s="185">
        <f t="shared" si="4"/>
        <v>532774</v>
      </c>
      <c r="S18" s="185">
        <f t="shared" si="4"/>
        <v>534624</v>
      </c>
      <c r="T18" s="185">
        <f t="shared" si="4"/>
        <v>536474</v>
      </c>
      <c r="V18" s="1"/>
    </row>
    <row r="19" spans="1:22" x14ac:dyDescent="0.3">
      <c r="A19" s="149"/>
      <c r="B19" s="154"/>
      <c r="C19" s="188" t="s">
        <v>184</v>
      </c>
      <c r="D19" s="154"/>
      <c r="E19" s="154"/>
      <c r="F19" s="189">
        <f>SUM(F17:F18)</f>
        <v>511392</v>
      </c>
      <c r="G19" s="189">
        <f t="shared" si="4"/>
        <v>513303</v>
      </c>
      <c r="H19" s="189">
        <f t="shared" si="4"/>
        <v>515214</v>
      </c>
      <c r="I19" s="189">
        <f t="shared" si="4"/>
        <v>516970</v>
      </c>
      <c r="J19" s="189">
        <f t="shared" si="4"/>
        <v>518726</v>
      </c>
      <c r="K19" s="189">
        <f t="shared" si="4"/>
        <v>520482</v>
      </c>
      <c r="L19" s="189">
        <f t="shared" si="4"/>
        <v>522238</v>
      </c>
      <c r="M19" s="189">
        <f t="shared" si="4"/>
        <v>523994</v>
      </c>
      <c r="N19" s="189">
        <f t="shared" si="4"/>
        <v>525750</v>
      </c>
      <c r="O19" s="189">
        <f t="shared" si="4"/>
        <v>527506</v>
      </c>
      <c r="P19" s="189">
        <f t="shared" si="4"/>
        <v>529262</v>
      </c>
      <c r="Q19" s="189">
        <f t="shared" si="4"/>
        <v>531018</v>
      </c>
      <c r="R19" s="189">
        <f t="shared" si="4"/>
        <v>532774</v>
      </c>
      <c r="S19" s="189">
        <f t="shared" si="4"/>
        <v>534624</v>
      </c>
      <c r="T19" s="189">
        <f t="shared" si="4"/>
        <v>536474</v>
      </c>
      <c r="U19" s="162">
        <f>SUM(F19:Q19)</f>
        <v>6255855</v>
      </c>
      <c r="V19" s="1"/>
    </row>
    <row r="20" spans="1:22" x14ac:dyDescent="0.3">
      <c r="A20" s="166"/>
      <c r="B20" s="155"/>
      <c r="C20" s="190" t="s">
        <v>57</v>
      </c>
      <c r="D20" s="155"/>
      <c r="E20" s="155"/>
      <c r="F20" s="191">
        <f>F14+F19</f>
        <v>14381197.3872</v>
      </c>
      <c r="G20" s="191">
        <f>G14+G19</f>
        <v>15120252.7872</v>
      </c>
      <c r="H20" s="191">
        <f t="shared" ref="H20:T20" si="5">H14+H19</f>
        <v>15864520.187200001</v>
      </c>
      <c r="I20" s="191">
        <f t="shared" si="5"/>
        <v>16613540.587200001</v>
      </c>
      <c r="J20" s="191">
        <f t="shared" si="5"/>
        <v>17367396.987199999</v>
      </c>
      <c r="K20" s="191">
        <f t="shared" si="5"/>
        <v>18126161.387199998</v>
      </c>
      <c r="L20" s="191">
        <f t="shared" si="5"/>
        <v>18890137.787199996</v>
      </c>
      <c r="M20" s="191">
        <f t="shared" si="5"/>
        <v>19672898.187199995</v>
      </c>
      <c r="N20" s="191">
        <f t="shared" si="5"/>
        <v>20461558.587199993</v>
      </c>
      <c r="O20" s="191">
        <f t="shared" si="5"/>
        <v>21255662.987199992</v>
      </c>
      <c r="P20" s="191">
        <f t="shared" si="5"/>
        <v>22060391.38719999</v>
      </c>
      <c r="Q20" s="191">
        <f t="shared" si="5"/>
        <v>22869172.987199992</v>
      </c>
      <c r="R20" s="191">
        <f t="shared" si="5"/>
        <v>23684733.38719999</v>
      </c>
      <c r="S20" s="191">
        <f t="shared" si="5"/>
        <v>24505599.787199989</v>
      </c>
      <c r="T20" s="191">
        <f t="shared" si="5"/>
        <v>25347510.187199987</v>
      </c>
      <c r="U20" s="156">
        <f>SUM(F20:Q20)</f>
        <v>222682891.24639994</v>
      </c>
      <c r="V20" s="1"/>
    </row>
    <row r="21" spans="1:22" x14ac:dyDescent="0.3">
      <c r="C21" s="187" t="s">
        <v>58</v>
      </c>
      <c r="F21"/>
      <c r="I21" s="180"/>
      <c r="K21" s="180"/>
      <c r="S21" s="180"/>
      <c r="T21" s="180"/>
      <c r="V21" s="1"/>
    </row>
    <row r="22" spans="1:22" x14ac:dyDescent="0.3">
      <c r="C22" s="179" t="s">
        <v>185</v>
      </c>
      <c r="F22" s="180"/>
      <c r="G22" s="180"/>
      <c r="Q22" s="180"/>
      <c r="V22" s="1"/>
    </row>
    <row r="23" spans="1:22" x14ac:dyDescent="0.3">
      <c r="C23" s="179" t="s">
        <v>186</v>
      </c>
      <c r="F23"/>
      <c r="H23" s="180"/>
      <c r="J23" s="180"/>
      <c r="V23" s="1"/>
    </row>
    <row r="24" spans="1:22" x14ac:dyDescent="0.3">
      <c r="C24" s="177" t="s">
        <v>187</v>
      </c>
      <c r="F24" s="223">
        <f>'CF 2027'!G52</f>
        <v>-162733.6</v>
      </c>
      <c r="G24" s="223">
        <f>'CF 2027'!H52</f>
        <v>-167065.60000000001</v>
      </c>
      <c r="H24" s="223">
        <f>'CF 2027'!I52</f>
        <v>-168368.6</v>
      </c>
      <c r="I24" s="223">
        <f>'CF 2027'!J52</f>
        <v>-169595.6</v>
      </c>
      <c r="J24" s="223">
        <f>'CF 2027'!K52</f>
        <v>-170804.6</v>
      </c>
      <c r="K24" s="223">
        <f>'CF 2027'!L52</f>
        <v>-172031.6</v>
      </c>
      <c r="L24" s="223">
        <f>'CF 2027'!M52</f>
        <v>-173334.6</v>
      </c>
      <c r="M24" s="223">
        <f>'CF 2027'!N52</f>
        <v>-178030.6</v>
      </c>
      <c r="N24" s="223">
        <f>'CF 2027'!O52</f>
        <v>-179505.6</v>
      </c>
      <c r="O24" s="223">
        <f>'CF 2027'!P52</f>
        <v>-180866.6</v>
      </c>
      <c r="P24" s="223">
        <f>'CF 2027'!Q52</f>
        <v>-183522.6</v>
      </c>
      <c r="Q24" s="223">
        <f>'CF 2027'!R52</f>
        <v>-187344.40000000002</v>
      </c>
      <c r="R24" s="223">
        <f>'CF 2027'!S52</f>
        <v>-190594.6</v>
      </c>
      <c r="S24" s="223">
        <f>'CF 2027'!T52</f>
        <v>-191897.60000000001</v>
      </c>
      <c r="T24" s="223">
        <f>'CF 2027'!U52</f>
        <v>-196863.6</v>
      </c>
      <c r="V24" s="1"/>
    </row>
    <row r="25" spans="1:22" x14ac:dyDescent="0.3">
      <c r="A25" s="154"/>
      <c r="B25" s="154"/>
      <c r="C25" s="181" t="s">
        <v>188</v>
      </c>
      <c r="D25" s="154"/>
      <c r="E25" s="154"/>
      <c r="F25" s="162">
        <f>SUM(F22:F24)</f>
        <v>-162733.6</v>
      </c>
      <c r="G25" s="162">
        <f t="shared" ref="G25:T25" si="6">SUM(G22:G24)</f>
        <v>-167065.60000000001</v>
      </c>
      <c r="H25" s="162">
        <f t="shared" si="6"/>
        <v>-168368.6</v>
      </c>
      <c r="I25" s="162">
        <f t="shared" si="6"/>
        <v>-169595.6</v>
      </c>
      <c r="J25" s="162">
        <f t="shared" si="6"/>
        <v>-170804.6</v>
      </c>
      <c r="K25" s="162">
        <f t="shared" si="6"/>
        <v>-172031.6</v>
      </c>
      <c r="L25" s="162">
        <f t="shared" si="6"/>
        <v>-173334.6</v>
      </c>
      <c r="M25" s="162">
        <f t="shared" si="6"/>
        <v>-178030.6</v>
      </c>
      <c r="N25" s="162">
        <f t="shared" si="6"/>
        <v>-179505.6</v>
      </c>
      <c r="O25" s="162">
        <f t="shared" si="6"/>
        <v>-180866.6</v>
      </c>
      <c r="P25" s="162">
        <f t="shared" si="6"/>
        <v>-183522.6</v>
      </c>
      <c r="Q25" s="162">
        <f t="shared" si="6"/>
        <v>-187344.40000000002</v>
      </c>
      <c r="R25" s="162">
        <f t="shared" si="6"/>
        <v>-190594.6</v>
      </c>
      <c r="S25" s="162">
        <f t="shared" si="6"/>
        <v>-191897.60000000001</v>
      </c>
      <c r="T25" s="162">
        <f t="shared" si="6"/>
        <v>-196863.6</v>
      </c>
      <c r="U25" s="162">
        <f>SUM(F25:Q25)</f>
        <v>-2093204.0000000005</v>
      </c>
      <c r="V25" s="1"/>
    </row>
    <row r="26" spans="1:22" x14ac:dyDescent="0.3">
      <c r="A26" s="155"/>
      <c r="B26" s="155"/>
      <c r="C26" s="192" t="s">
        <v>59</v>
      </c>
      <c r="D26" s="155"/>
      <c r="E26" s="155"/>
      <c r="F26" s="156"/>
      <c r="G26" s="155"/>
      <c r="H26" s="155"/>
      <c r="I26" s="156"/>
      <c r="J26" s="155"/>
      <c r="K26" s="156"/>
      <c r="L26" s="193"/>
      <c r="M26" s="193"/>
      <c r="N26" s="193"/>
      <c r="O26" s="193"/>
      <c r="P26" s="193"/>
      <c r="Q26" s="155"/>
      <c r="R26" s="193"/>
      <c r="S26" s="156"/>
      <c r="T26" s="156"/>
      <c r="U26" s="155"/>
      <c r="V26" s="1"/>
    </row>
    <row r="27" spans="1:22" x14ac:dyDescent="0.3">
      <c r="C27" s="176" t="s">
        <v>189</v>
      </c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223">
        <f>SUM(F27:Q27)</f>
        <v>0</v>
      </c>
      <c r="V27" s="1"/>
    </row>
    <row r="28" spans="1:22" ht="12.6" customHeight="1" x14ac:dyDescent="0.3">
      <c r="C28" s="177"/>
      <c r="F28"/>
      <c r="J28" s="178" t="s">
        <v>195</v>
      </c>
      <c r="U28" s="357"/>
      <c r="V28" s="1"/>
    </row>
    <row r="29" spans="1:22" x14ac:dyDescent="0.3">
      <c r="C29" s="176" t="s">
        <v>190</v>
      </c>
      <c r="F29" s="178"/>
      <c r="G29" s="178"/>
      <c r="H29" s="178"/>
      <c r="Q29" s="178"/>
      <c r="U29" s="357"/>
      <c r="V29" s="1"/>
    </row>
    <row r="30" spans="1:22" x14ac:dyDescent="0.3">
      <c r="C30" s="179" t="s">
        <v>198</v>
      </c>
      <c r="F30" s="178"/>
      <c r="G30" s="178"/>
      <c r="H30" s="178"/>
      <c r="Q30" s="178"/>
      <c r="U30" s="357"/>
      <c r="V30" s="1"/>
    </row>
    <row r="31" spans="1:22" x14ac:dyDescent="0.3">
      <c r="C31" s="176" t="s">
        <v>191</v>
      </c>
      <c r="F31" s="185">
        <f>SUM(F27:F29)</f>
        <v>0</v>
      </c>
      <c r="G31" s="185">
        <f t="shared" ref="G31:T31" si="7">SUM(G27:G29)</f>
        <v>0</v>
      </c>
      <c r="H31" s="185">
        <f t="shared" si="7"/>
        <v>0</v>
      </c>
      <c r="I31" s="185">
        <f t="shared" si="7"/>
        <v>0</v>
      </c>
      <c r="J31" s="185">
        <f t="shared" si="7"/>
        <v>0</v>
      </c>
      <c r="K31" s="185">
        <f t="shared" si="7"/>
        <v>0</v>
      </c>
      <c r="L31" s="185">
        <f t="shared" si="7"/>
        <v>0</v>
      </c>
      <c r="M31" s="185">
        <f t="shared" si="7"/>
        <v>0</v>
      </c>
      <c r="N31" s="185">
        <f t="shared" si="7"/>
        <v>0</v>
      </c>
      <c r="O31" s="185">
        <f t="shared" si="7"/>
        <v>0</v>
      </c>
      <c r="P31" s="185">
        <f t="shared" si="7"/>
        <v>0</v>
      </c>
      <c r="Q31" s="185">
        <f t="shared" si="7"/>
        <v>0</v>
      </c>
      <c r="R31" s="185">
        <f t="shared" si="7"/>
        <v>0</v>
      </c>
      <c r="S31" s="185">
        <f t="shared" si="7"/>
        <v>0</v>
      </c>
      <c r="T31" s="185">
        <f t="shared" si="7"/>
        <v>0</v>
      </c>
      <c r="U31" s="357"/>
      <c r="V31" s="1"/>
    </row>
    <row r="32" spans="1:22" x14ac:dyDescent="0.3">
      <c r="C32" s="176" t="s">
        <v>60</v>
      </c>
      <c r="F32" s="185">
        <f>F31+F24</f>
        <v>-162733.6</v>
      </c>
      <c r="G32" s="185">
        <f t="shared" ref="G32:T32" si="8">G31+G24</f>
        <v>-167065.60000000001</v>
      </c>
      <c r="H32" s="185">
        <f t="shared" si="8"/>
        <v>-168368.6</v>
      </c>
      <c r="I32" s="185">
        <f t="shared" si="8"/>
        <v>-169595.6</v>
      </c>
      <c r="J32" s="185">
        <f t="shared" si="8"/>
        <v>-170804.6</v>
      </c>
      <c r="K32" s="185">
        <f t="shared" si="8"/>
        <v>-172031.6</v>
      </c>
      <c r="L32" s="185">
        <f t="shared" si="8"/>
        <v>-173334.6</v>
      </c>
      <c r="M32" s="185">
        <f t="shared" si="8"/>
        <v>-178030.6</v>
      </c>
      <c r="N32" s="185">
        <f t="shared" si="8"/>
        <v>-179505.6</v>
      </c>
      <c r="O32" s="185">
        <f t="shared" si="8"/>
        <v>-180866.6</v>
      </c>
      <c r="P32" s="185">
        <f t="shared" si="8"/>
        <v>-183522.6</v>
      </c>
      <c r="Q32" s="185">
        <f t="shared" si="8"/>
        <v>-187344.40000000002</v>
      </c>
      <c r="R32" s="185">
        <f t="shared" si="8"/>
        <v>-190594.6</v>
      </c>
      <c r="S32" s="185">
        <f t="shared" si="8"/>
        <v>-191897.60000000001</v>
      </c>
      <c r="T32" s="185">
        <f t="shared" si="8"/>
        <v>-196863.6</v>
      </c>
      <c r="U32" s="357"/>
      <c r="V32" s="1"/>
    </row>
    <row r="33" spans="3:22" x14ac:dyDescent="0.3">
      <c r="C33" s="176" t="s">
        <v>61</v>
      </c>
      <c r="F33" s="222">
        <f>F20+F32</f>
        <v>14218463.7872</v>
      </c>
      <c r="G33" s="222">
        <f>G20+G32</f>
        <v>14953187.187200001</v>
      </c>
      <c r="H33" s="222">
        <f t="shared" ref="H33:T33" si="9">H20+H32</f>
        <v>15696151.587200001</v>
      </c>
      <c r="I33" s="222">
        <f t="shared" si="9"/>
        <v>16443944.987200001</v>
      </c>
      <c r="J33" s="222">
        <f t="shared" si="9"/>
        <v>17196592.387199998</v>
      </c>
      <c r="K33" s="222">
        <f t="shared" si="9"/>
        <v>17954129.787199996</v>
      </c>
      <c r="L33" s="222">
        <f t="shared" si="9"/>
        <v>18716803.187199995</v>
      </c>
      <c r="M33" s="222">
        <f t="shared" si="9"/>
        <v>19494867.587199993</v>
      </c>
      <c r="N33" s="222">
        <f t="shared" si="9"/>
        <v>20282052.987199992</v>
      </c>
      <c r="O33" s="222">
        <f t="shared" si="9"/>
        <v>21074796.38719999</v>
      </c>
      <c r="P33" s="222">
        <f t="shared" si="9"/>
        <v>21876868.787199989</v>
      </c>
      <c r="Q33" s="222">
        <f t="shared" si="9"/>
        <v>22681828.587199993</v>
      </c>
      <c r="R33" s="222">
        <f t="shared" si="9"/>
        <v>23494138.787199989</v>
      </c>
      <c r="S33" s="222">
        <f t="shared" si="9"/>
        <v>24313702.187199987</v>
      </c>
      <c r="T33" s="222">
        <f t="shared" si="9"/>
        <v>25150646.587199986</v>
      </c>
      <c r="U33" s="379">
        <f>SUM(F33:Q33)</f>
        <v>220589687.24639994</v>
      </c>
      <c r="V33" s="1"/>
    </row>
    <row r="34" spans="3:22" x14ac:dyDescent="0.3">
      <c r="C34" s="179" t="s">
        <v>63</v>
      </c>
      <c r="F34" s="177"/>
      <c r="G34" s="177"/>
      <c r="H34" s="177"/>
      <c r="I34" s="177"/>
      <c r="J34" s="178"/>
      <c r="K34" s="178"/>
      <c r="L34" s="178"/>
      <c r="M34" s="178"/>
      <c r="N34" s="178"/>
      <c r="O34" s="178"/>
      <c r="P34" s="178"/>
      <c r="Q34" s="177"/>
      <c r="R34" s="178"/>
      <c r="S34" s="178"/>
      <c r="T34" s="178"/>
      <c r="V34" s="1"/>
    </row>
    <row r="35" spans="3:22" x14ac:dyDescent="0.3">
      <c r="C35" s="179" t="s">
        <v>65</v>
      </c>
      <c r="F35" s="178">
        <f>SUM(F33:F34)</f>
        <v>14218463.7872</v>
      </c>
      <c r="G35" s="178">
        <f t="shared" ref="G35:T35" si="10">SUM(G33:G34)</f>
        <v>14953187.187200001</v>
      </c>
      <c r="H35" s="178">
        <f t="shared" si="10"/>
        <v>15696151.587200001</v>
      </c>
      <c r="I35" s="178">
        <f t="shared" si="10"/>
        <v>16443944.987200001</v>
      </c>
      <c r="J35" s="178">
        <f t="shared" si="10"/>
        <v>17196592.387199998</v>
      </c>
      <c r="K35" s="178">
        <f t="shared" si="10"/>
        <v>17954129.787199996</v>
      </c>
      <c r="L35" s="178">
        <f t="shared" si="10"/>
        <v>18716803.187199995</v>
      </c>
      <c r="M35" s="178">
        <f t="shared" si="10"/>
        <v>19494867.587199993</v>
      </c>
      <c r="N35" s="178">
        <f t="shared" si="10"/>
        <v>20282052.987199992</v>
      </c>
      <c r="O35" s="178">
        <f t="shared" si="10"/>
        <v>21074796.38719999</v>
      </c>
      <c r="P35" s="178">
        <f t="shared" si="10"/>
        <v>21876868.787199989</v>
      </c>
      <c r="Q35" s="178">
        <f t="shared" si="10"/>
        <v>22681828.587199993</v>
      </c>
      <c r="R35" s="178">
        <f t="shared" si="10"/>
        <v>23494138.787199989</v>
      </c>
      <c r="S35" s="178">
        <f t="shared" si="10"/>
        <v>24313702.187199987</v>
      </c>
      <c r="T35" s="178">
        <f t="shared" si="10"/>
        <v>25150646.587199986</v>
      </c>
      <c r="V35" s="1"/>
    </row>
    <row r="36" spans="3:22" x14ac:dyDescent="0.3">
      <c r="C36" s="186" t="s">
        <v>66</v>
      </c>
      <c r="F36" s="178">
        <f>F34+F35</f>
        <v>14218463.7872</v>
      </c>
      <c r="G36" s="178">
        <f t="shared" ref="G36:T36" si="11">G34+G35</f>
        <v>14953187.187200001</v>
      </c>
      <c r="H36" s="178">
        <f t="shared" si="11"/>
        <v>15696151.587200001</v>
      </c>
      <c r="I36" s="178">
        <f t="shared" si="11"/>
        <v>16443944.987200001</v>
      </c>
      <c r="J36" s="178">
        <f t="shared" si="11"/>
        <v>17196592.387199998</v>
      </c>
      <c r="K36" s="178">
        <f t="shared" si="11"/>
        <v>17954129.787199996</v>
      </c>
      <c r="L36" s="178">
        <f t="shared" si="11"/>
        <v>18716803.187199995</v>
      </c>
      <c r="M36" s="178">
        <f t="shared" si="11"/>
        <v>19494867.587199993</v>
      </c>
      <c r="N36" s="178">
        <f t="shared" si="11"/>
        <v>20282052.987199992</v>
      </c>
      <c r="O36" s="178">
        <f t="shared" si="11"/>
        <v>21074796.38719999</v>
      </c>
      <c r="P36" s="178">
        <f t="shared" si="11"/>
        <v>21876868.787199989</v>
      </c>
      <c r="Q36" s="178">
        <f t="shared" si="11"/>
        <v>22681828.587199993</v>
      </c>
      <c r="R36" s="178">
        <f t="shared" si="11"/>
        <v>23494138.787199989</v>
      </c>
      <c r="S36" s="178">
        <f t="shared" si="11"/>
        <v>24313702.187199987</v>
      </c>
      <c r="T36" s="178">
        <f t="shared" si="11"/>
        <v>25150646.587199986</v>
      </c>
      <c r="V36" s="1"/>
    </row>
    <row r="37" spans="3:22" x14ac:dyDescent="0.3">
      <c r="C37" s="179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V37" s="1"/>
    </row>
    <row r="38" spans="3:22" x14ac:dyDescent="0.3">
      <c r="C38" s="179" t="s">
        <v>192</v>
      </c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V38" s="1"/>
    </row>
    <row r="39" spans="3:22" x14ac:dyDescent="0.3">
      <c r="C39" s="179" t="s">
        <v>193</v>
      </c>
      <c r="F39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V39" s="1"/>
    </row>
    <row r="40" spans="3:22" x14ac:dyDescent="0.3">
      <c r="C40" s="179" t="s">
        <v>194</v>
      </c>
      <c r="F40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V40" s="1"/>
    </row>
    <row r="41" spans="3:22" x14ac:dyDescent="0.3">
      <c r="C41" s="179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9B64-5E41-41B5-BB65-3C913EE02CC6}">
  <sheetPr codeName="Sheet21"/>
  <dimension ref="A1:AP83"/>
  <sheetViews>
    <sheetView showGridLines="0" workbookViewId="0">
      <selection activeCell="C12" sqref="C12:C16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0" width="11.44140625" bestFit="1" customWidth="1"/>
    <col min="11" max="12" width="10" bestFit="1" customWidth="1"/>
    <col min="13" max="13" width="11.44140625" bestFit="1" customWidth="1"/>
    <col min="14" max="14" width="9.5546875" customWidth="1"/>
    <col min="15" max="15" width="10" bestFit="1" customWidth="1"/>
    <col min="16" max="17" width="11.44140625" bestFit="1" customWidth="1"/>
    <col min="18" max="19" width="10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144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O2" s="346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0"/>
      <c r="B5" s="153" t="s">
        <v>176</v>
      </c>
      <c r="C5" s="150"/>
      <c r="D5" s="150"/>
      <c r="E5" s="150"/>
      <c r="F5" s="208">
        <v>2024</v>
      </c>
      <c r="G5" s="208">
        <v>2024</v>
      </c>
      <c r="H5" s="208">
        <v>2024</v>
      </c>
      <c r="I5" s="208">
        <v>2024</v>
      </c>
      <c r="J5" s="208">
        <v>2024</v>
      </c>
      <c r="K5" s="208">
        <v>2024</v>
      </c>
      <c r="L5" s="208">
        <v>2024</v>
      </c>
      <c r="M5" s="208">
        <v>2024</v>
      </c>
      <c r="N5" s="208">
        <v>2024</v>
      </c>
      <c r="O5" s="208">
        <v>2024</v>
      </c>
      <c r="P5" s="208">
        <v>2024</v>
      </c>
      <c r="Q5" s="208">
        <v>2024</v>
      </c>
      <c r="R5" s="208">
        <v>2025</v>
      </c>
      <c r="S5" s="208">
        <v>2025</v>
      </c>
      <c r="T5" s="208">
        <v>2025</v>
      </c>
      <c r="U5" s="154" t="s">
        <v>78</v>
      </c>
    </row>
    <row r="6" spans="1:42" ht="15" thickBot="1" x14ac:dyDescent="0.35">
      <c r="A6" s="152"/>
      <c r="B6" s="160" t="s">
        <v>70</v>
      </c>
      <c r="C6" s="152"/>
      <c r="D6" s="152"/>
      <c r="E6" s="152"/>
      <c r="F6" s="207" t="s">
        <v>32</v>
      </c>
      <c r="G6" s="207" t="s">
        <v>33</v>
      </c>
      <c r="H6" s="207" t="s">
        <v>34</v>
      </c>
      <c r="I6" s="207" t="s">
        <v>35</v>
      </c>
      <c r="J6" s="207" t="s">
        <v>36</v>
      </c>
      <c r="K6" s="207" t="s">
        <v>37</v>
      </c>
      <c r="L6" s="207" t="s">
        <v>38</v>
      </c>
      <c r="M6" s="207" t="s">
        <v>39</v>
      </c>
      <c r="N6" s="207" t="s">
        <v>40</v>
      </c>
      <c r="O6" s="207" t="s">
        <v>41</v>
      </c>
      <c r="P6" s="207" t="s">
        <v>42</v>
      </c>
      <c r="Q6" s="207" t="s">
        <v>43</v>
      </c>
      <c r="R6" s="207" t="s">
        <v>32</v>
      </c>
      <c r="S6" s="207" t="s">
        <v>33</v>
      </c>
      <c r="T6" s="207" t="s">
        <v>34</v>
      </c>
      <c r="U6" s="166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309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337</v>
      </c>
      <c r="D12" s="13"/>
      <c r="E12" s="13"/>
      <c r="F12" s="158">
        <f>'2024 Sales Summary'!F27</f>
        <v>30240</v>
      </c>
      <c r="G12" s="158">
        <f>'2024 Sales Summary'!G27</f>
        <v>30240</v>
      </c>
      <c r="H12" s="158">
        <f>'2024 Sales Summary'!H27</f>
        <v>30240</v>
      </c>
      <c r="I12" s="158">
        <f>'2024 Sales Summary'!I27</f>
        <v>30240</v>
      </c>
      <c r="J12" s="158">
        <f>'2024 Sales Summary'!J27</f>
        <v>34425</v>
      </c>
      <c r="K12" s="158">
        <f>'2024 Sales Summary'!K27</f>
        <v>37395</v>
      </c>
      <c r="L12" s="158">
        <f>'2024 Sales Summary'!L27</f>
        <v>20790</v>
      </c>
      <c r="M12" s="158">
        <f>'2024 Sales Summary'!M27</f>
        <v>20790</v>
      </c>
      <c r="N12" s="158">
        <f>'2024 Sales Summary'!N27</f>
        <v>20790</v>
      </c>
      <c r="O12" s="158">
        <f>'2024 Sales Summary'!O27</f>
        <v>37395</v>
      </c>
      <c r="P12" s="158">
        <f>'2024 Sales Summary'!P27</f>
        <v>38745</v>
      </c>
      <c r="Q12" s="158">
        <f>'2024 Sales Summary'!Q27</f>
        <v>27000</v>
      </c>
      <c r="R12" s="158">
        <f>'IS 2025'!F12</f>
        <v>16779.636000000002</v>
      </c>
      <c r="S12" s="158">
        <f>'IS 2025'!G12</f>
        <v>17016.803999999996</v>
      </c>
      <c r="T12" s="158">
        <f>'IS 2025'!H12</f>
        <v>17253.971999999998</v>
      </c>
      <c r="U12" s="13"/>
    </row>
    <row r="13" spans="1:42" x14ac:dyDescent="0.3">
      <c r="A13" s="13"/>
      <c r="B13" s="13"/>
      <c r="C13" s="145" t="s">
        <v>338</v>
      </c>
      <c r="D13" s="13"/>
      <c r="E13" s="13"/>
      <c r="F13" s="158">
        <f>'2024 Sales Summary'!F30</f>
        <v>9990</v>
      </c>
      <c r="G13" s="158">
        <f>'2024 Sales Summary'!G30</f>
        <v>11070</v>
      </c>
      <c r="H13" s="158">
        <f>'2024 Sales Summary'!H30</f>
        <v>9990</v>
      </c>
      <c r="I13" s="158">
        <f>'2024 Sales Summary'!I30</f>
        <v>10260</v>
      </c>
      <c r="J13" s="158">
        <f>'2024 Sales Summary'!J30</f>
        <v>9810</v>
      </c>
      <c r="K13" s="158">
        <f>'2024 Sales Summary'!K30</f>
        <v>9990</v>
      </c>
      <c r="L13" s="158">
        <f>'2024 Sales Summary'!L30</f>
        <v>9990</v>
      </c>
      <c r="M13" s="158">
        <f>'2024 Sales Summary'!M30</f>
        <v>9360</v>
      </c>
      <c r="N13" s="158">
        <f>'2024 Sales Summary'!N30</f>
        <v>9630</v>
      </c>
      <c r="O13" s="158">
        <f>'2024 Sales Summary'!O30</f>
        <v>10170</v>
      </c>
      <c r="P13" s="158">
        <f>'2024 Sales Summary'!P30</f>
        <v>10440</v>
      </c>
      <c r="Q13" s="158">
        <f>'2024 Sales Summary'!Q30</f>
        <v>11160</v>
      </c>
      <c r="R13" s="158">
        <f>'IS 2025'!F13</f>
        <v>11780</v>
      </c>
      <c r="S13" s="158">
        <f>'IS 2025'!G13</f>
        <v>11970</v>
      </c>
      <c r="T13" s="158">
        <f>'IS 2025'!H13</f>
        <v>12160</v>
      </c>
      <c r="U13" s="13"/>
    </row>
    <row r="14" spans="1:42" x14ac:dyDescent="0.3">
      <c r="A14" s="13"/>
      <c r="B14" s="13"/>
      <c r="C14" s="145" t="s">
        <v>339</v>
      </c>
      <c r="D14" s="13"/>
      <c r="E14" s="13"/>
      <c r="F14" s="158">
        <f>'2024 Sales Summary'!F33</f>
        <v>18700</v>
      </c>
      <c r="G14" s="158">
        <f>'2024 Sales Summary'!G33</f>
        <v>19030</v>
      </c>
      <c r="H14" s="158">
        <f>'2024 Sales Summary'!H33</f>
        <v>19470</v>
      </c>
      <c r="I14" s="158">
        <f>'2024 Sales Summary'!I33</f>
        <v>19910</v>
      </c>
      <c r="J14" s="158">
        <f>'2024 Sales Summary'!J33</f>
        <v>20900</v>
      </c>
      <c r="K14" s="158">
        <f>'2024 Sales Summary'!K33</f>
        <v>21670</v>
      </c>
      <c r="L14" s="158">
        <f>'2024 Sales Summary'!L33</f>
        <v>22110</v>
      </c>
      <c r="M14" s="158">
        <f>'2024 Sales Summary'!M33</f>
        <v>22880</v>
      </c>
      <c r="N14" s="158">
        <f>'2024 Sales Summary'!N33</f>
        <v>23540</v>
      </c>
      <c r="O14" s="158">
        <f>'2024 Sales Summary'!O33</f>
        <v>24970</v>
      </c>
      <c r="P14" s="158">
        <f>'2024 Sales Summary'!P33</f>
        <v>25520</v>
      </c>
      <c r="Q14" s="158">
        <f>'2024 Sales Summary'!Q33</f>
        <v>27390</v>
      </c>
      <c r="R14" s="158">
        <f>'IS 2025'!F14</f>
        <v>28635</v>
      </c>
      <c r="S14" s="158">
        <f>'IS 2025'!G14</f>
        <v>28980</v>
      </c>
      <c r="T14" s="158">
        <f>'IS 2025'!H14</f>
        <v>29440</v>
      </c>
      <c r="U14" s="13"/>
    </row>
    <row r="15" spans="1:42" x14ac:dyDescent="0.3">
      <c r="A15" s="13"/>
      <c r="B15" s="13"/>
      <c r="C15" s="145" t="s">
        <v>340</v>
      </c>
      <c r="D15" s="13"/>
      <c r="E15" s="13"/>
      <c r="F15" s="158">
        <f>'2024 Sales Summary'!F36</f>
        <v>80000</v>
      </c>
      <c r="G15" s="158">
        <f>'2024 Sales Summary'!G36</f>
        <v>85000</v>
      </c>
      <c r="H15" s="158">
        <f>'2024 Sales Summary'!H36</f>
        <v>100000</v>
      </c>
      <c r="I15" s="158">
        <f>'2024 Sales Summary'!I36</f>
        <v>103000</v>
      </c>
      <c r="J15" s="158">
        <f>'2024 Sales Summary'!J36</f>
        <v>102750</v>
      </c>
      <c r="K15" s="158">
        <f>'2024 Sales Summary'!K36</f>
        <v>103000</v>
      </c>
      <c r="L15" s="158">
        <f>'2024 Sales Summary'!L36</f>
        <v>108500</v>
      </c>
      <c r="M15" s="158">
        <f>'2024 Sales Summary'!M36</f>
        <v>109000</v>
      </c>
      <c r="N15" s="158">
        <f>'2024 Sales Summary'!N36</f>
        <v>112500</v>
      </c>
      <c r="O15" s="158">
        <f>'2024 Sales Summary'!O36</f>
        <v>120000</v>
      </c>
      <c r="P15" s="158">
        <f>'2024 Sales Summary'!P36</f>
        <v>124500</v>
      </c>
      <c r="Q15" s="158">
        <f>'2024 Sales Summary'!Q36</f>
        <v>125000</v>
      </c>
      <c r="R15" s="158">
        <f>'IS 2025'!F15</f>
        <v>150800</v>
      </c>
      <c r="S15" s="158">
        <f>'IS 2025'!G15</f>
        <v>152880</v>
      </c>
      <c r="T15" s="158">
        <f>'IS 2025'!H15</f>
        <v>152880</v>
      </c>
      <c r="U15" s="13"/>
    </row>
    <row r="16" spans="1:42" x14ac:dyDescent="0.3">
      <c r="A16" s="13"/>
      <c r="B16" s="13"/>
      <c r="C16" s="145" t="s">
        <v>341</v>
      </c>
      <c r="D16" s="13"/>
      <c r="E16" s="13"/>
      <c r="F16" s="158">
        <f>'2024 Sales Summary'!F39</f>
        <v>191100</v>
      </c>
      <c r="G16" s="158">
        <f>'2024 Sales Summary'!G39</f>
        <v>285111</v>
      </c>
      <c r="H16" s="158">
        <f>'2024 Sales Summary'!H39</f>
        <v>202150</v>
      </c>
      <c r="I16" s="158">
        <f>'2024 Sales Summary'!I39</f>
        <v>287640</v>
      </c>
      <c r="J16" s="158">
        <f>'2024 Sales Summary'!J39</f>
        <v>198900</v>
      </c>
      <c r="K16" s="158">
        <f>'2024 Sales Summary'!K39</f>
        <v>220025</v>
      </c>
      <c r="L16" s="158">
        <f>'2024 Sales Summary'!L39</f>
        <v>209625</v>
      </c>
      <c r="M16" s="158">
        <f>'2024 Sales Summary'!M39</f>
        <v>228475</v>
      </c>
      <c r="N16" s="158">
        <f>'2024 Sales Summary'!N39</f>
        <v>230750</v>
      </c>
      <c r="O16" s="158">
        <f>'2024 Sales Summary'!O39</f>
        <v>248950</v>
      </c>
      <c r="P16" s="158">
        <f>'2024 Sales Summary'!P39</f>
        <v>249275</v>
      </c>
      <c r="Q16" s="158">
        <f>'2024 Sales Summary'!Q39</f>
        <v>259350</v>
      </c>
      <c r="R16" s="158">
        <f>'IS 2025'!F16</f>
        <v>338078.59200000006</v>
      </c>
      <c r="S16" s="158">
        <f>'IS 2025'!G16</f>
        <v>342857.08799999993</v>
      </c>
      <c r="T16" s="158">
        <f>'IS 2025'!H16</f>
        <v>347635.58399999997</v>
      </c>
      <c r="U16" s="13"/>
    </row>
    <row r="17" spans="1:21" x14ac:dyDescent="0.3">
      <c r="A17" s="150"/>
      <c r="B17" s="150"/>
      <c r="C17" s="153" t="s">
        <v>119</v>
      </c>
      <c r="D17" s="150"/>
      <c r="E17" s="150"/>
      <c r="F17" s="151">
        <f>SUM(F12:F16)</f>
        <v>330030</v>
      </c>
      <c r="G17" s="151">
        <f>SUM(G12:G16)</f>
        <v>430451</v>
      </c>
      <c r="H17" s="151">
        <f>SUM(H12:H16)</f>
        <v>361850</v>
      </c>
      <c r="I17" s="151">
        <f>SUM(I12:I16)</f>
        <v>451050</v>
      </c>
      <c r="J17" s="151">
        <f t="shared" ref="J17:T17" si="0">SUM(J12:J16)</f>
        <v>366785</v>
      </c>
      <c r="K17" s="151">
        <f t="shared" si="0"/>
        <v>392080</v>
      </c>
      <c r="L17" s="151">
        <f t="shared" si="0"/>
        <v>371015</v>
      </c>
      <c r="M17" s="151">
        <f t="shared" si="0"/>
        <v>390505</v>
      </c>
      <c r="N17" s="151">
        <f t="shared" si="0"/>
        <v>397210</v>
      </c>
      <c r="O17" s="151">
        <f t="shared" si="0"/>
        <v>441485</v>
      </c>
      <c r="P17" s="151">
        <f t="shared" si="0"/>
        <v>448480</v>
      </c>
      <c r="Q17" s="151">
        <f t="shared" si="0"/>
        <v>449900</v>
      </c>
      <c r="R17" s="151">
        <f t="shared" si="0"/>
        <v>546073.22800000012</v>
      </c>
      <c r="S17" s="151">
        <f t="shared" si="0"/>
        <v>553703.89199999999</v>
      </c>
      <c r="T17" s="151">
        <f t="shared" si="0"/>
        <v>559369.55599999998</v>
      </c>
      <c r="U17" s="162">
        <f>SUM(F17:Q17)</f>
        <v>4830841</v>
      </c>
    </row>
    <row r="18" spans="1:21" x14ac:dyDescent="0.3">
      <c r="A18" s="152"/>
      <c r="B18" s="152"/>
      <c r="C18" s="160" t="s">
        <v>120</v>
      </c>
      <c r="D18" s="152"/>
      <c r="E18" s="152"/>
      <c r="F18" s="161">
        <f>SUM(F19:F24)</f>
        <v>-10390</v>
      </c>
      <c r="G18" s="161">
        <f t="shared" ref="G18:T18" si="1">SUM(G19:G24)</f>
        <v>-10390</v>
      </c>
      <c r="H18" s="161">
        <f t="shared" si="1"/>
        <v>-10390</v>
      </c>
      <c r="I18" s="161">
        <f t="shared" si="1"/>
        <v>-10390</v>
      </c>
      <c r="J18" s="161">
        <f t="shared" si="1"/>
        <v>-10390</v>
      </c>
      <c r="K18" s="161">
        <f t="shared" si="1"/>
        <v>-10390</v>
      </c>
      <c r="L18" s="161">
        <f t="shared" si="1"/>
        <v>-10390</v>
      </c>
      <c r="M18" s="161">
        <f t="shared" si="1"/>
        <v>-10390</v>
      </c>
      <c r="N18" s="161">
        <f t="shared" si="1"/>
        <v>-10390</v>
      </c>
      <c r="O18" s="161">
        <f t="shared" si="1"/>
        <v>-10390</v>
      </c>
      <c r="P18" s="161">
        <f t="shared" si="1"/>
        <v>-10390</v>
      </c>
      <c r="Q18" s="161">
        <f t="shared" si="1"/>
        <v>-10390</v>
      </c>
      <c r="R18" s="161">
        <f t="shared" si="1"/>
        <v>-10390</v>
      </c>
      <c r="S18" s="161">
        <f t="shared" si="1"/>
        <v>-10390</v>
      </c>
      <c r="T18" s="161">
        <f t="shared" si="1"/>
        <v>-10390</v>
      </c>
      <c r="U18" s="156">
        <f t="shared" ref="U18:U65" si="2">SUM(F18:Q18)</f>
        <v>-124680</v>
      </c>
    </row>
    <row r="19" spans="1:21" x14ac:dyDescent="0.3">
      <c r="A19" s="13"/>
      <c r="B19" s="13"/>
      <c r="C19" s="145" t="s">
        <v>204</v>
      </c>
      <c r="D19" s="13"/>
      <c r="E19" s="13"/>
      <c r="F19" s="142">
        <v>-9500</v>
      </c>
      <c r="G19" s="142">
        <v>-9500</v>
      </c>
      <c r="H19" s="142">
        <v>-9500</v>
      </c>
      <c r="I19" s="142">
        <v>-9500</v>
      </c>
      <c r="J19" s="142">
        <v>-9500</v>
      </c>
      <c r="K19" s="142">
        <v>-9500</v>
      </c>
      <c r="L19" s="142">
        <v>-9500</v>
      </c>
      <c r="M19" s="142">
        <v>-9500</v>
      </c>
      <c r="N19" s="142">
        <v>-9500</v>
      </c>
      <c r="O19" s="142">
        <v>-9500</v>
      </c>
      <c r="P19" s="142">
        <v>-9500</v>
      </c>
      <c r="Q19" s="142">
        <v>-9500</v>
      </c>
      <c r="R19" s="142">
        <v>-9500</v>
      </c>
      <c r="S19" s="142">
        <v>-9500</v>
      </c>
      <c r="T19" s="142">
        <v>-9500</v>
      </c>
      <c r="U19" s="158">
        <f t="shared" si="2"/>
        <v>-114000</v>
      </c>
    </row>
    <row r="20" spans="1:21" x14ac:dyDescent="0.3">
      <c r="A20" s="13"/>
      <c r="B20" s="13"/>
      <c r="C20" s="145" t="s">
        <v>325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>
        <v>-700</v>
      </c>
      <c r="S20" s="143">
        <v>-700</v>
      </c>
      <c r="T20" s="143">
        <v>-700</v>
      </c>
      <c r="U20" s="158">
        <f t="shared" si="2"/>
        <v>-8400</v>
      </c>
    </row>
    <row r="21" spans="1:21" x14ac:dyDescent="0.3">
      <c r="A21" s="13"/>
      <c r="B21" s="13"/>
      <c r="C21" s="145" t="s">
        <v>321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>
        <v>-125</v>
      </c>
      <c r="S21" s="143">
        <v>-125</v>
      </c>
      <c r="T21" s="143">
        <v>-125</v>
      </c>
      <c r="U21" s="158">
        <f t="shared" si="2"/>
        <v>-1500</v>
      </c>
    </row>
    <row r="22" spans="1:21" x14ac:dyDescent="0.3">
      <c r="A22" s="13"/>
      <c r="B22" s="13"/>
      <c r="C22" s="145" t="s">
        <v>322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>
        <v>-65</v>
      </c>
      <c r="S22" s="143">
        <v>-65</v>
      </c>
      <c r="T22" s="143">
        <v>-65</v>
      </c>
      <c r="U22" s="158">
        <f t="shared" si="2"/>
        <v>-780</v>
      </c>
    </row>
    <row r="23" spans="1:21" x14ac:dyDescent="0.3">
      <c r="A23" s="13"/>
      <c r="B23" s="13"/>
      <c r="C23" s="145" t="s">
        <v>208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209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3"/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63"/>
      <c r="B26" s="163"/>
      <c r="C26" s="164" t="s">
        <v>4</v>
      </c>
      <c r="D26" s="163"/>
      <c r="E26" s="163"/>
      <c r="F26" s="165">
        <f>SUM(F17+F18)</f>
        <v>319640</v>
      </c>
      <c r="G26" s="165">
        <f t="shared" ref="G26:T26" si="3">SUM(G17+G18)</f>
        <v>420061</v>
      </c>
      <c r="H26" s="165">
        <f t="shared" si="3"/>
        <v>351460</v>
      </c>
      <c r="I26" s="165">
        <f t="shared" si="3"/>
        <v>440660</v>
      </c>
      <c r="J26" s="165">
        <f t="shared" si="3"/>
        <v>356395</v>
      </c>
      <c r="K26" s="165">
        <f t="shared" si="3"/>
        <v>381690</v>
      </c>
      <c r="L26" s="165">
        <f t="shared" si="3"/>
        <v>360625</v>
      </c>
      <c r="M26" s="165">
        <f t="shared" si="3"/>
        <v>380115</v>
      </c>
      <c r="N26" s="165">
        <f t="shared" si="3"/>
        <v>386820</v>
      </c>
      <c r="O26" s="165">
        <f t="shared" si="3"/>
        <v>431095</v>
      </c>
      <c r="P26" s="165">
        <f t="shared" si="3"/>
        <v>438090</v>
      </c>
      <c r="Q26" s="165">
        <f t="shared" si="3"/>
        <v>439510</v>
      </c>
      <c r="R26" s="165">
        <f t="shared" si="3"/>
        <v>535683.22800000012</v>
      </c>
      <c r="S26" s="165">
        <f t="shared" si="3"/>
        <v>543313.89199999999</v>
      </c>
      <c r="T26" s="165">
        <f t="shared" si="3"/>
        <v>548979.55599999998</v>
      </c>
      <c r="U26" s="307">
        <f t="shared" si="2"/>
        <v>4706161</v>
      </c>
    </row>
    <row r="27" spans="1:21" ht="15" customHeight="1" x14ac:dyDescent="0.3">
      <c r="A27" s="13"/>
      <c r="B27" s="13"/>
      <c r="C27" s="143"/>
      <c r="D27" s="13"/>
      <c r="E27" s="1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0"/>
    </row>
    <row r="28" spans="1:21" ht="15" customHeight="1" x14ac:dyDescent="0.3">
      <c r="A28" s="13"/>
      <c r="B28" s="13"/>
      <c r="C28" s="144" t="s">
        <v>6</v>
      </c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ht="15" customHeight="1" x14ac:dyDescent="0.3">
      <c r="A29" s="13"/>
      <c r="B29" s="13"/>
      <c r="C29" s="145" t="s">
        <v>314</v>
      </c>
      <c r="D29" s="13"/>
      <c r="E29" s="13"/>
      <c r="F29" s="158">
        <v>-975</v>
      </c>
      <c r="G29" s="158">
        <v>-975</v>
      </c>
      <c r="H29" s="158">
        <v>-975</v>
      </c>
      <c r="I29" s="158">
        <v>-975</v>
      </c>
      <c r="J29" s="158">
        <v>-975</v>
      </c>
      <c r="K29" s="158">
        <v>-975</v>
      </c>
      <c r="L29" s="158">
        <v>-975</v>
      </c>
      <c r="M29" s="158">
        <v>-975</v>
      </c>
      <c r="N29" s="158">
        <v>-975</v>
      </c>
      <c r="O29" s="158">
        <v>-975</v>
      </c>
      <c r="P29" s="158">
        <v>-975</v>
      </c>
      <c r="Q29" s="158">
        <v>-975</v>
      </c>
      <c r="R29" s="158">
        <v>-975</v>
      </c>
      <c r="S29" s="158">
        <v>-975</v>
      </c>
      <c r="T29" s="158">
        <v>-975</v>
      </c>
      <c r="U29" s="158">
        <f t="shared" si="2"/>
        <v>-11700</v>
      </c>
    </row>
    <row r="30" spans="1:21" ht="15" customHeight="1" x14ac:dyDescent="0.3">
      <c r="A30" s="13"/>
      <c r="B30" s="13"/>
      <c r="C30" s="145" t="s">
        <v>315</v>
      </c>
      <c r="D30" s="13"/>
      <c r="E30" s="13"/>
      <c r="F30" s="158">
        <v>-300</v>
      </c>
      <c r="G30" s="158">
        <v>-300</v>
      </c>
      <c r="H30" s="158">
        <v>-300</v>
      </c>
      <c r="I30" s="158">
        <v>-300</v>
      </c>
      <c r="J30" s="158">
        <v>-300</v>
      </c>
      <c r="K30" s="158">
        <v>-300</v>
      </c>
      <c r="L30" s="158">
        <v>-300</v>
      </c>
      <c r="M30" s="158">
        <v>-300</v>
      </c>
      <c r="N30" s="158">
        <v>-300</v>
      </c>
      <c r="O30" s="158">
        <v>-300</v>
      </c>
      <c r="P30" s="158">
        <v>-300</v>
      </c>
      <c r="Q30" s="158">
        <v>-300</v>
      </c>
      <c r="R30" s="158">
        <v>-300</v>
      </c>
      <c r="S30" s="158">
        <v>-300</v>
      </c>
      <c r="T30" s="158">
        <v>-300</v>
      </c>
      <c r="U30" s="158">
        <f t="shared" si="2"/>
        <v>-3600</v>
      </c>
    </row>
    <row r="31" spans="1:21" ht="15" customHeight="1" x14ac:dyDescent="0.3">
      <c r="A31" s="13"/>
      <c r="B31" s="13"/>
      <c r="C31" s="145" t="s">
        <v>287</v>
      </c>
      <c r="D31" s="13"/>
      <c r="E31" s="13"/>
      <c r="F31" s="158">
        <v>-300</v>
      </c>
      <c r="G31" s="158">
        <v>-300</v>
      </c>
      <c r="H31" s="158">
        <v>-300</v>
      </c>
      <c r="I31" s="158">
        <v>-300</v>
      </c>
      <c r="J31" s="158">
        <v>-300</v>
      </c>
      <c r="K31" s="158">
        <v>-300</v>
      </c>
      <c r="L31" s="158">
        <v>-300</v>
      </c>
      <c r="M31" s="158">
        <v>-300</v>
      </c>
      <c r="N31" s="158">
        <v>-300</v>
      </c>
      <c r="O31" s="158">
        <v>-300</v>
      </c>
      <c r="P31" s="158">
        <v>-300</v>
      </c>
      <c r="Q31" s="158">
        <v>-300</v>
      </c>
      <c r="R31" s="158">
        <v>-300</v>
      </c>
      <c r="S31" s="158">
        <v>-300</v>
      </c>
      <c r="T31" s="158">
        <v>-300</v>
      </c>
      <c r="U31" s="158">
        <f t="shared" si="2"/>
        <v>-3600</v>
      </c>
    </row>
    <row r="32" spans="1:21" ht="15" customHeight="1" x14ac:dyDescent="0.3">
      <c r="A32" s="13"/>
      <c r="B32" s="13"/>
      <c r="C32" s="145" t="s">
        <v>323</v>
      </c>
      <c r="D32" s="13"/>
      <c r="E32" s="13"/>
      <c r="F32" s="380">
        <v>-710</v>
      </c>
      <c r="G32" s="380">
        <v>-710</v>
      </c>
      <c r="H32" s="380">
        <v>-710</v>
      </c>
      <c r="I32" s="380">
        <v>-710</v>
      </c>
      <c r="J32" s="380">
        <v>-710</v>
      </c>
      <c r="K32" s="380">
        <v>-710</v>
      </c>
      <c r="L32" s="380">
        <v>-710</v>
      </c>
      <c r="M32" s="380">
        <v>-710</v>
      </c>
      <c r="N32" s="380">
        <v>-710</v>
      </c>
      <c r="O32" s="380">
        <v>-710</v>
      </c>
      <c r="P32" s="380">
        <v>-710</v>
      </c>
      <c r="Q32" s="380">
        <v>-710</v>
      </c>
      <c r="R32" s="380">
        <v>-710</v>
      </c>
      <c r="S32" s="380">
        <v>-710</v>
      </c>
      <c r="T32" s="380">
        <v>-710</v>
      </c>
      <c r="U32" s="158">
        <f t="shared" si="2"/>
        <v>-8520</v>
      </c>
    </row>
    <row r="33" spans="1:21" ht="15" customHeight="1" x14ac:dyDescent="0.3">
      <c r="A33" s="13"/>
      <c r="B33" s="13"/>
      <c r="C33" s="145" t="s">
        <v>124</v>
      </c>
      <c r="D33" s="13"/>
      <c r="E33" s="13"/>
      <c r="F33" s="306" t="s">
        <v>146</v>
      </c>
      <c r="G33" s="306" t="s">
        <v>146</v>
      </c>
      <c r="H33" s="306" t="s">
        <v>146</v>
      </c>
      <c r="I33" s="306" t="s">
        <v>146</v>
      </c>
      <c r="J33" s="306" t="s">
        <v>146</v>
      </c>
      <c r="K33" s="306" t="s">
        <v>146</v>
      </c>
      <c r="L33" s="306" t="s">
        <v>146</v>
      </c>
      <c r="M33" s="306" t="s">
        <v>146</v>
      </c>
      <c r="N33" s="306" t="s">
        <v>146</v>
      </c>
      <c r="O33" s="306" t="s">
        <v>146</v>
      </c>
      <c r="P33" s="306" t="s">
        <v>146</v>
      </c>
      <c r="Q33" s="306" t="s">
        <v>146</v>
      </c>
      <c r="R33" s="306" t="s">
        <v>146</v>
      </c>
      <c r="S33" s="306" t="s">
        <v>146</v>
      </c>
      <c r="T33" s="306" t="s">
        <v>146</v>
      </c>
      <c r="U33" s="158">
        <f t="shared" si="2"/>
        <v>0</v>
      </c>
    </row>
    <row r="34" spans="1:21" ht="15" customHeight="1" x14ac:dyDescent="0.3">
      <c r="A34" s="13"/>
      <c r="B34" s="13"/>
      <c r="C34" s="145" t="s">
        <v>125</v>
      </c>
      <c r="D34" s="13"/>
      <c r="E34" s="13"/>
      <c r="F34" s="306" t="s">
        <v>146</v>
      </c>
      <c r="G34" s="306" t="s">
        <v>146</v>
      </c>
      <c r="H34" s="306" t="s">
        <v>146</v>
      </c>
      <c r="I34" s="306" t="s">
        <v>146</v>
      </c>
      <c r="J34" s="306" t="s">
        <v>146</v>
      </c>
      <c r="K34" s="306" t="s">
        <v>146</v>
      </c>
      <c r="L34" s="306" t="s">
        <v>146</v>
      </c>
      <c r="M34" s="306" t="s">
        <v>146</v>
      </c>
      <c r="N34" s="306" t="s">
        <v>146</v>
      </c>
      <c r="O34" s="306" t="s">
        <v>146</v>
      </c>
      <c r="P34" s="306" t="s">
        <v>146</v>
      </c>
      <c r="Q34" s="306" t="s">
        <v>146</v>
      </c>
      <c r="R34" s="306" t="s">
        <v>146</v>
      </c>
      <c r="S34" s="306" t="s">
        <v>146</v>
      </c>
      <c r="T34" s="306" t="s">
        <v>146</v>
      </c>
      <c r="U34" s="158">
        <f t="shared" si="2"/>
        <v>0</v>
      </c>
    </row>
    <row r="35" spans="1:21" ht="15" customHeight="1" x14ac:dyDescent="0.3">
      <c r="A35" s="13"/>
      <c r="B35" s="13"/>
      <c r="C35" s="145" t="s">
        <v>126</v>
      </c>
      <c r="D35" s="13"/>
      <c r="E35" s="13"/>
      <c r="F35" s="306" t="s">
        <v>146</v>
      </c>
      <c r="G35" s="306" t="s">
        <v>146</v>
      </c>
      <c r="H35" s="306" t="s">
        <v>146</v>
      </c>
      <c r="I35" s="306" t="s">
        <v>146</v>
      </c>
      <c r="J35" s="306" t="s">
        <v>146</v>
      </c>
      <c r="K35" s="306" t="s">
        <v>146</v>
      </c>
      <c r="L35" s="306" t="s">
        <v>146</v>
      </c>
      <c r="M35" s="306" t="s">
        <v>146</v>
      </c>
      <c r="N35" s="306" t="s">
        <v>146</v>
      </c>
      <c r="O35" s="306" t="s">
        <v>146</v>
      </c>
      <c r="P35" s="306" t="s">
        <v>146</v>
      </c>
      <c r="Q35" s="306" t="s">
        <v>146</v>
      </c>
      <c r="R35" s="306" t="s">
        <v>146</v>
      </c>
      <c r="S35" s="306" t="s">
        <v>146</v>
      </c>
      <c r="T35" s="306" t="s">
        <v>146</v>
      </c>
      <c r="U35" s="158">
        <f t="shared" si="2"/>
        <v>0</v>
      </c>
    </row>
    <row r="36" spans="1:21" ht="15" customHeight="1" x14ac:dyDescent="0.3">
      <c r="A36" s="13"/>
      <c r="B36" s="13"/>
      <c r="C36" s="145" t="s">
        <v>127</v>
      </c>
      <c r="D36" s="13"/>
      <c r="E36" s="13"/>
      <c r="F36" s="306" t="s">
        <v>146</v>
      </c>
      <c r="G36" s="306" t="s">
        <v>146</v>
      </c>
      <c r="H36" s="306" t="s">
        <v>146</v>
      </c>
      <c r="I36" s="306" t="s">
        <v>146</v>
      </c>
      <c r="J36" s="306" t="s">
        <v>146</v>
      </c>
      <c r="K36" s="306" t="s">
        <v>146</v>
      </c>
      <c r="L36" s="306" t="s">
        <v>146</v>
      </c>
      <c r="M36" s="306" t="s">
        <v>146</v>
      </c>
      <c r="N36" s="306" t="s">
        <v>146</v>
      </c>
      <c r="O36" s="306" t="s">
        <v>146</v>
      </c>
      <c r="P36" s="306" t="s">
        <v>146</v>
      </c>
      <c r="Q36" s="306" t="s">
        <v>146</v>
      </c>
      <c r="R36" s="306" t="s">
        <v>146</v>
      </c>
      <c r="S36" s="306" t="s">
        <v>146</v>
      </c>
      <c r="T36" s="306" t="s">
        <v>146</v>
      </c>
      <c r="U36" s="158">
        <f t="shared" si="2"/>
        <v>0</v>
      </c>
    </row>
    <row r="37" spans="1:21" ht="15" customHeight="1" x14ac:dyDescent="0.3">
      <c r="A37" s="13"/>
      <c r="B37" s="13"/>
      <c r="C37" s="145"/>
      <c r="D37" s="13"/>
      <c r="E37" s="13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40"/>
    </row>
    <row r="38" spans="1:21" x14ac:dyDescent="0.3">
      <c r="A38" s="154"/>
      <c r="B38" s="154"/>
      <c r="C38" s="181" t="s">
        <v>128</v>
      </c>
      <c r="D38" s="154"/>
      <c r="E38" s="154"/>
      <c r="F38" s="162">
        <f>SUM(F29:F36)</f>
        <v>-2285</v>
      </c>
      <c r="G38" s="162">
        <f t="shared" ref="G38:T38" si="4">SUM(G29:G36)</f>
        <v>-2285</v>
      </c>
      <c r="H38" s="162">
        <f t="shared" si="4"/>
        <v>-2285</v>
      </c>
      <c r="I38" s="162">
        <f t="shared" si="4"/>
        <v>-2285</v>
      </c>
      <c r="J38" s="162">
        <f t="shared" si="4"/>
        <v>-2285</v>
      </c>
      <c r="K38" s="162">
        <f t="shared" si="4"/>
        <v>-2285</v>
      </c>
      <c r="L38" s="162">
        <f t="shared" si="4"/>
        <v>-2285</v>
      </c>
      <c r="M38" s="162">
        <f t="shared" si="4"/>
        <v>-2285</v>
      </c>
      <c r="N38" s="162">
        <f t="shared" si="4"/>
        <v>-2285</v>
      </c>
      <c r="O38" s="162">
        <f t="shared" si="4"/>
        <v>-2285</v>
      </c>
      <c r="P38" s="162">
        <f t="shared" si="4"/>
        <v>-2285</v>
      </c>
      <c r="Q38" s="162">
        <f t="shared" si="4"/>
        <v>-2285</v>
      </c>
      <c r="R38" s="162">
        <f t="shared" si="4"/>
        <v>-2285</v>
      </c>
      <c r="S38" s="162">
        <f t="shared" si="4"/>
        <v>-2285</v>
      </c>
      <c r="T38" s="162">
        <f t="shared" si="4"/>
        <v>-2285</v>
      </c>
      <c r="U38" s="162">
        <f t="shared" si="2"/>
        <v>-27420</v>
      </c>
    </row>
    <row r="39" spans="1:21" x14ac:dyDescent="0.3">
      <c r="A39" s="155"/>
      <c r="B39" s="155"/>
      <c r="C39" s="192" t="s">
        <v>129</v>
      </c>
      <c r="D39" s="155"/>
      <c r="E39" s="155"/>
      <c r="F39" s="156">
        <v>-4063</v>
      </c>
      <c r="G39" s="156">
        <v>-4063</v>
      </c>
      <c r="H39" s="156">
        <v>-4063</v>
      </c>
      <c r="I39" s="156">
        <v>-4063</v>
      </c>
      <c r="J39" s="156">
        <v>-4063</v>
      </c>
      <c r="K39" s="156">
        <v>-4063</v>
      </c>
      <c r="L39" s="156">
        <v>-4063</v>
      </c>
      <c r="M39" s="156">
        <v>-4063</v>
      </c>
      <c r="N39" s="156">
        <v>-4063</v>
      </c>
      <c r="O39" s="156">
        <v>-4063</v>
      </c>
      <c r="P39" s="156">
        <v>-4063</v>
      </c>
      <c r="Q39" s="156">
        <v>-4063</v>
      </c>
      <c r="R39" s="156">
        <v>-4063</v>
      </c>
      <c r="S39" s="156">
        <v>-4063</v>
      </c>
      <c r="T39" s="156">
        <v>-4063</v>
      </c>
      <c r="U39" s="156">
        <f t="shared" si="2"/>
        <v>-48756</v>
      </c>
    </row>
    <row r="40" spans="1:21" x14ac:dyDescent="0.3">
      <c r="A40" s="13"/>
      <c r="B40" s="13"/>
      <c r="C40" s="143"/>
      <c r="D40" s="13"/>
      <c r="E40" s="1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0"/>
    </row>
    <row r="41" spans="1:21" x14ac:dyDescent="0.3">
      <c r="A41" s="13"/>
      <c r="B41" s="13"/>
      <c r="C41" s="144" t="s">
        <v>31</v>
      </c>
      <c r="D41" s="13"/>
      <c r="E41" s="1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0"/>
    </row>
    <row r="42" spans="1:21" x14ac:dyDescent="0.3">
      <c r="A42" s="13"/>
      <c r="B42" s="13"/>
      <c r="C42" s="143" t="s">
        <v>324</v>
      </c>
      <c r="D42" s="13"/>
      <c r="E42" s="13"/>
      <c r="F42" s="158">
        <v>-1750</v>
      </c>
      <c r="G42" s="158">
        <v>-1750</v>
      </c>
      <c r="H42" s="158">
        <v>-1750</v>
      </c>
      <c r="I42" s="158">
        <v>-1750</v>
      </c>
      <c r="J42" s="158">
        <v>-1750</v>
      </c>
      <c r="K42" s="158">
        <v>-1750</v>
      </c>
      <c r="L42" s="158">
        <v>-1750</v>
      </c>
      <c r="M42" s="158">
        <v>-1750</v>
      </c>
      <c r="N42" s="158">
        <v>-1750</v>
      </c>
      <c r="O42" s="158">
        <v>-1750</v>
      </c>
      <c r="P42" s="158">
        <v>-1750</v>
      </c>
      <c r="Q42" s="158">
        <v>-1750</v>
      </c>
      <c r="R42" s="158">
        <v>-1750</v>
      </c>
      <c r="S42" s="158">
        <v>-1750</v>
      </c>
      <c r="T42" s="158">
        <v>-1750</v>
      </c>
      <c r="U42" s="158">
        <f t="shared" si="2"/>
        <v>-21000</v>
      </c>
    </row>
    <row r="43" spans="1:21" x14ac:dyDescent="0.3">
      <c r="A43" s="13"/>
      <c r="B43" s="13"/>
      <c r="C43" s="143" t="s">
        <v>325</v>
      </c>
      <c r="D43" s="13"/>
      <c r="E43" s="13"/>
      <c r="F43" s="158">
        <v>-2550</v>
      </c>
      <c r="G43" s="158">
        <v>-2550</v>
      </c>
      <c r="H43" s="158">
        <v>-2550</v>
      </c>
      <c r="I43" s="158">
        <v>-2550</v>
      </c>
      <c r="J43" s="158">
        <v>-2550</v>
      </c>
      <c r="K43" s="158">
        <v>-2550</v>
      </c>
      <c r="L43" s="158">
        <v>-2550</v>
      </c>
      <c r="M43" s="158">
        <v>-2550</v>
      </c>
      <c r="N43" s="158">
        <v>-2550</v>
      </c>
      <c r="O43" s="158">
        <v>-2550</v>
      </c>
      <c r="P43" s="158">
        <v>-2550</v>
      </c>
      <c r="Q43" s="158">
        <v>-2550</v>
      </c>
      <c r="R43" s="158">
        <v>-2550</v>
      </c>
      <c r="S43" s="158">
        <v>-2550</v>
      </c>
      <c r="T43" s="158">
        <v>-2550</v>
      </c>
      <c r="U43" s="158">
        <f t="shared" si="2"/>
        <v>-30600</v>
      </c>
    </row>
    <row r="44" spans="1:21" x14ac:dyDescent="0.3">
      <c r="A44" s="13"/>
      <c r="B44" s="13"/>
      <c r="C44" s="143" t="s">
        <v>326</v>
      </c>
      <c r="D44" s="13"/>
      <c r="E44" s="13"/>
      <c r="F44" s="158">
        <v>-700</v>
      </c>
      <c r="G44" s="158">
        <v>-700</v>
      </c>
      <c r="H44" s="158">
        <v>-700</v>
      </c>
      <c r="I44" s="158">
        <v>-700</v>
      </c>
      <c r="J44" s="158">
        <v>-700</v>
      </c>
      <c r="K44" s="158">
        <v>-700</v>
      </c>
      <c r="L44" s="158">
        <v>-700</v>
      </c>
      <c r="M44" s="158">
        <v>-700</v>
      </c>
      <c r="N44" s="158">
        <v>-700</v>
      </c>
      <c r="O44" s="158">
        <v>-700</v>
      </c>
      <c r="P44" s="158">
        <v>-700</v>
      </c>
      <c r="Q44" s="158">
        <v>-700</v>
      </c>
      <c r="R44" s="158">
        <v>-700</v>
      </c>
      <c r="S44" s="158">
        <v>-700</v>
      </c>
      <c r="T44" s="158">
        <v>-700</v>
      </c>
      <c r="U44" s="158">
        <f t="shared" si="2"/>
        <v>-8400</v>
      </c>
    </row>
    <row r="45" spans="1:21" x14ac:dyDescent="0.3">
      <c r="A45" s="13"/>
      <c r="B45" s="13"/>
      <c r="C45" s="143" t="s">
        <v>327</v>
      </c>
      <c r="D45" s="13"/>
      <c r="E45" s="13"/>
      <c r="F45" s="158">
        <v>-1350</v>
      </c>
      <c r="G45" s="158">
        <v>-1350</v>
      </c>
      <c r="H45" s="158">
        <v>-1350</v>
      </c>
      <c r="I45" s="158">
        <v>-1350</v>
      </c>
      <c r="J45" s="158">
        <v>-1350</v>
      </c>
      <c r="K45" s="158">
        <v>-1350</v>
      </c>
      <c r="L45" s="158">
        <v>-1350</v>
      </c>
      <c r="M45" s="158">
        <v>-1350</v>
      </c>
      <c r="N45" s="158">
        <v>-1350</v>
      </c>
      <c r="O45" s="158">
        <v>-1350</v>
      </c>
      <c r="P45" s="158">
        <v>-1350</v>
      </c>
      <c r="Q45" s="158">
        <v>-1350</v>
      </c>
      <c r="R45" s="158">
        <v>-1350</v>
      </c>
      <c r="S45" s="158">
        <v>-1350</v>
      </c>
      <c r="T45" s="158">
        <v>-1350</v>
      </c>
      <c r="U45" s="158">
        <f t="shared" si="2"/>
        <v>-16200</v>
      </c>
    </row>
    <row r="46" spans="1:21" x14ac:dyDescent="0.3">
      <c r="A46" s="13"/>
      <c r="B46" s="13"/>
      <c r="C46" s="143" t="s">
        <v>328</v>
      </c>
      <c r="D46" s="13"/>
      <c r="E46" s="13"/>
      <c r="F46" s="158">
        <v>-1900</v>
      </c>
      <c r="G46" s="158">
        <v>-1900</v>
      </c>
      <c r="H46" s="158">
        <v>-1900</v>
      </c>
      <c r="I46" s="158">
        <v>-1900</v>
      </c>
      <c r="J46" s="158">
        <v>-1900</v>
      </c>
      <c r="K46" s="158">
        <v>-1900</v>
      </c>
      <c r="L46" s="158">
        <v>-1900</v>
      </c>
      <c r="M46" s="158">
        <v>-1900</v>
      </c>
      <c r="N46" s="158">
        <v>-1900</v>
      </c>
      <c r="O46" s="158">
        <v>-1900</v>
      </c>
      <c r="P46" s="158">
        <v>-1900</v>
      </c>
      <c r="Q46" s="158">
        <v>-1900</v>
      </c>
      <c r="R46" s="158">
        <v>-1900</v>
      </c>
      <c r="S46" s="158">
        <v>-1900</v>
      </c>
      <c r="T46" s="158">
        <v>-1900</v>
      </c>
      <c r="U46" s="158">
        <f t="shared" si="2"/>
        <v>-22800</v>
      </c>
    </row>
    <row r="47" spans="1:21" x14ac:dyDescent="0.3">
      <c r="A47" s="13"/>
      <c r="B47" s="13"/>
      <c r="C47" s="143" t="s">
        <v>131</v>
      </c>
      <c r="D47" s="13"/>
      <c r="E47" s="1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0"/>
    </row>
    <row r="48" spans="1:21" x14ac:dyDescent="0.3">
      <c r="A48" s="13"/>
      <c r="B48" s="13"/>
      <c r="C48" s="145" t="s">
        <v>132</v>
      </c>
      <c r="D48" s="13"/>
      <c r="E48" s="1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0"/>
    </row>
    <row r="49" spans="1:21" x14ac:dyDescent="0.3">
      <c r="A49" s="13"/>
      <c r="B49" s="13"/>
      <c r="C49" s="145" t="s">
        <v>133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134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135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136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137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138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139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x14ac:dyDescent="0.3">
      <c r="A56" s="13"/>
      <c r="B56" s="13"/>
      <c r="C56" s="145" t="s">
        <v>140</v>
      </c>
      <c r="D56" s="13"/>
      <c r="E56" s="1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0"/>
    </row>
    <row r="57" spans="1:21" x14ac:dyDescent="0.3">
      <c r="A57" s="13"/>
      <c r="B57" s="13"/>
      <c r="C57" s="145"/>
      <c r="D57" s="13"/>
      <c r="E57" s="1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0"/>
    </row>
    <row r="58" spans="1:21" s="119" customFormat="1" ht="14.4" customHeight="1" x14ac:dyDescent="0.3">
      <c r="A58" s="168"/>
      <c r="B58" s="168"/>
      <c r="C58" s="169" t="s">
        <v>141</v>
      </c>
      <c r="D58" s="168"/>
      <c r="E58" s="168"/>
      <c r="F58" s="170">
        <f>SUM(F42:F56)</f>
        <v>-8250</v>
      </c>
      <c r="G58" s="170">
        <f>SUM(G42:G56)</f>
        <v>-8250</v>
      </c>
      <c r="H58" s="170">
        <f t="shared" ref="H58:T58" si="5">SUM(H42:H56)</f>
        <v>-8250</v>
      </c>
      <c r="I58" s="170">
        <f t="shared" si="5"/>
        <v>-8250</v>
      </c>
      <c r="J58" s="170">
        <f t="shared" si="5"/>
        <v>-8250</v>
      </c>
      <c r="K58" s="170">
        <f t="shared" si="5"/>
        <v>-8250</v>
      </c>
      <c r="L58" s="170">
        <f t="shared" si="5"/>
        <v>-8250</v>
      </c>
      <c r="M58" s="170">
        <f t="shared" si="5"/>
        <v>-8250</v>
      </c>
      <c r="N58" s="170">
        <f t="shared" si="5"/>
        <v>-8250</v>
      </c>
      <c r="O58" s="170">
        <f t="shared" si="5"/>
        <v>-8250</v>
      </c>
      <c r="P58" s="170">
        <f t="shared" si="5"/>
        <v>-8250</v>
      </c>
      <c r="Q58" s="170">
        <f t="shared" si="5"/>
        <v>-8250</v>
      </c>
      <c r="R58" s="170">
        <f t="shared" si="5"/>
        <v>-8250</v>
      </c>
      <c r="S58" s="170">
        <f t="shared" si="5"/>
        <v>-8250</v>
      </c>
      <c r="T58" s="170">
        <f t="shared" si="5"/>
        <v>-8250</v>
      </c>
      <c r="U58" s="162">
        <f t="shared" si="2"/>
        <v>-99000</v>
      </c>
    </row>
    <row r="59" spans="1:21" s="119" customFormat="1" ht="14.4" customHeight="1" x14ac:dyDescent="0.3">
      <c r="A59" s="171"/>
      <c r="B59" s="171"/>
      <c r="C59" s="172" t="s">
        <v>10</v>
      </c>
      <c r="D59" s="171"/>
      <c r="E59" s="171"/>
      <c r="F59" s="173">
        <f>F17+F18+F38+F58</f>
        <v>309105</v>
      </c>
      <c r="G59" s="173">
        <f t="shared" ref="G59:L59" si="6">G17+G18+G38+G58</f>
        <v>409526</v>
      </c>
      <c r="H59" s="173">
        <f t="shared" si="6"/>
        <v>340925</v>
      </c>
      <c r="I59" s="173">
        <f t="shared" si="6"/>
        <v>430125</v>
      </c>
      <c r="J59" s="173">
        <f t="shared" si="6"/>
        <v>345860</v>
      </c>
      <c r="K59" s="173">
        <f t="shared" si="6"/>
        <v>371155</v>
      </c>
      <c r="L59" s="173">
        <f t="shared" si="6"/>
        <v>350090</v>
      </c>
      <c r="M59" s="173">
        <f>M17+M18+M38+M58</f>
        <v>369580</v>
      </c>
      <c r="N59" s="173">
        <f t="shared" ref="N59" si="7">N17+N18+N38+N58</f>
        <v>376285</v>
      </c>
      <c r="O59" s="173">
        <f>O17+O18+O38+O58</f>
        <v>420560</v>
      </c>
      <c r="P59" s="173">
        <f t="shared" ref="P59" si="8">P17+P18+P38+P58</f>
        <v>427555</v>
      </c>
      <c r="Q59" s="173">
        <f t="shared" ref="Q59" si="9">Q17+Q18+Q38+Q58</f>
        <v>428975</v>
      </c>
      <c r="R59" s="173">
        <f t="shared" ref="R59" si="10">R17+R18+R38+R58</f>
        <v>525148.22800000012</v>
      </c>
      <c r="S59" s="173">
        <f t="shared" ref="S59" si="11">S17+S18+S38+S58</f>
        <v>532778.89199999999</v>
      </c>
      <c r="T59" s="173">
        <f t="shared" ref="T59" si="12">T17+T18+T38+T58</f>
        <v>538444.55599999998</v>
      </c>
      <c r="U59" s="156">
        <f t="shared" si="2"/>
        <v>4579741</v>
      </c>
    </row>
    <row r="60" spans="1:21" s="119" customFormat="1" ht="14.4" customHeight="1" x14ac:dyDescent="0.3">
      <c r="A60" s="117"/>
      <c r="B60" s="117"/>
      <c r="C60" s="146" t="s">
        <v>142</v>
      </c>
      <c r="D60" s="117"/>
      <c r="E60" s="117"/>
      <c r="F60" s="381">
        <v>-1711</v>
      </c>
      <c r="G60" s="381">
        <v>-1711</v>
      </c>
      <c r="H60" s="381">
        <v>-1711</v>
      </c>
      <c r="I60" s="381">
        <v>-1711</v>
      </c>
      <c r="J60" s="381">
        <v>-1711</v>
      </c>
      <c r="K60" s="381">
        <v>-1711</v>
      </c>
      <c r="L60" s="381">
        <v>-1711</v>
      </c>
      <c r="M60" s="381">
        <v>-1711</v>
      </c>
      <c r="N60" s="381">
        <v>-1711</v>
      </c>
      <c r="O60" s="381">
        <v>-1711</v>
      </c>
      <c r="P60" s="381">
        <v>-1711</v>
      </c>
      <c r="Q60" s="381">
        <v>-1711</v>
      </c>
      <c r="R60" s="381">
        <v>-1450</v>
      </c>
      <c r="S60" s="381">
        <v>-1450</v>
      </c>
      <c r="T60" s="381">
        <v>-1450</v>
      </c>
      <c r="U60" s="382">
        <f t="shared" si="2"/>
        <v>-20532</v>
      </c>
    </row>
    <row r="61" spans="1:21" s="119" customFormat="1" ht="25.05" customHeight="1" x14ac:dyDescent="0.3">
      <c r="A61" s="117"/>
      <c r="B61" s="117"/>
      <c r="C61" s="146" t="s">
        <v>12</v>
      </c>
      <c r="D61" s="117"/>
      <c r="E61" s="117"/>
      <c r="F61" s="382">
        <f>F59+F60</f>
        <v>307394</v>
      </c>
      <c r="G61" s="382">
        <f t="shared" ref="G61:T61" si="13">G59+G60</f>
        <v>407815</v>
      </c>
      <c r="H61" s="382">
        <f t="shared" si="13"/>
        <v>339214</v>
      </c>
      <c r="I61" s="382">
        <f t="shared" si="13"/>
        <v>428414</v>
      </c>
      <c r="J61" s="382">
        <f t="shared" si="13"/>
        <v>344149</v>
      </c>
      <c r="K61" s="382">
        <f t="shared" si="13"/>
        <v>369444</v>
      </c>
      <c r="L61" s="382">
        <f t="shared" si="13"/>
        <v>348379</v>
      </c>
      <c r="M61" s="382">
        <f t="shared" si="13"/>
        <v>367869</v>
      </c>
      <c r="N61" s="382">
        <f t="shared" si="13"/>
        <v>374574</v>
      </c>
      <c r="O61" s="382">
        <f t="shared" si="13"/>
        <v>418849</v>
      </c>
      <c r="P61" s="382">
        <f t="shared" si="13"/>
        <v>425844</v>
      </c>
      <c r="Q61" s="382">
        <f t="shared" si="13"/>
        <v>427264</v>
      </c>
      <c r="R61" s="382">
        <f t="shared" si="13"/>
        <v>523698.22800000012</v>
      </c>
      <c r="S61" s="382">
        <f t="shared" si="13"/>
        <v>531328.89199999999</v>
      </c>
      <c r="T61" s="382">
        <f t="shared" si="13"/>
        <v>536994.55599999998</v>
      </c>
      <c r="U61" s="382">
        <f t="shared" si="2"/>
        <v>4559209</v>
      </c>
    </row>
    <row r="62" spans="1:21" s="119" customFormat="1" ht="25.05" customHeight="1" x14ac:dyDescent="0.3">
      <c r="A62" s="117"/>
      <c r="B62" s="117"/>
      <c r="C62" s="147" t="s">
        <v>143</v>
      </c>
      <c r="D62" s="148"/>
      <c r="E62" s="117"/>
      <c r="F62" s="382">
        <f>('BS 2024'!F27*0.2)</f>
        <v>-110000</v>
      </c>
      <c r="G62" s="382">
        <f>('BS 2024'!G27*0.2)</f>
        <v>-106636.40000000001</v>
      </c>
      <c r="H62" s="382">
        <f>('BS 2024'!H27*0.2)</f>
        <v>-103272.8</v>
      </c>
      <c r="I62" s="382">
        <f>('BS 2024'!I27*0.2)</f>
        <v>-99909.200000000012</v>
      </c>
      <c r="J62" s="382">
        <f>('BS 2024'!J27*0.2)</f>
        <v>-96545.600000000006</v>
      </c>
      <c r="K62" s="382">
        <f>('BS 2024'!K27*0.2)</f>
        <v>-93182</v>
      </c>
      <c r="L62" s="382">
        <f>('BS 2024'!L27*0.2)</f>
        <v>-89818.400000000009</v>
      </c>
      <c r="M62" s="382">
        <f>('BS 2024'!M27*0.2)</f>
        <v>-86454.8</v>
      </c>
      <c r="N62" s="382">
        <f>('BS 2024'!N27*0.2)</f>
        <v>-83091.200000000012</v>
      </c>
      <c r="O62" s="382">
        <f>('BS 2024'!O27*0.2)</f>
        <v>-79727.600000000006</v>
      </c>
      <c r="P62" s="382">
        <f>('BS 2024'!P27*0.2)</f>
        <v>-76364</v>
      </c>
      <c r="Q62" s="382">
        <f>('BS 2024'!Q27*0.2)</f>
        <v>-73000.400000000009</v>
      </c>
      <c r="R62" s="382">
        <f>('BS 2024'!R27*0.2)</f>
        <v>-69636.800000000003</v>
      </c>
      <c r="S62" s="382">
        <f>('BS 2024'!S27*0.2)</f>
        <v>-66273.2</v>
      </c>
      <c r="T62" s="382">
        <f>('BS 2024'!T27*0.2)</f>
        <v>-62909.600000000006</v>
      </c>
      <c r="U62" s="382">
        <f t="shared" si="2"/>
        <v>-1098002.4000000001</v>
      </c>
    </row>
    <row r="63" spans="1:21" s="119" customFormat="1" ht="25.05" customHeight="1" x14ac:dyDescent="0.3">
      <c r="A63" s="117"/>
      <c r="B63" s="117"/>
      <c r="C63" s="146" t="s">
        <v>14</v>
      </c>
      <c r="D63" s="117"/>
      <c r="E63" s="117"/>
      <c r="F63" s="382">
        <f>F17+F18+F38+F58</f>
        <v>309105</v>
      </c>
      <c r="G63" s="382">
        <f t="shared" ref="G63:T63" si="14">G17+G18+G38+G58</f>
        <v>409526</v>
      </c>
      <c r="H63" s="382">
        <f t="shared" si="14"/>
        <v>340925</v>
      </c>
      <c r="I63" s="382">
        <f t="shared" si="14"/>
        <v>430125</v>
      </c>
      <c r="J63" s="382">
        <f t="shared" si="14"/>
        <v>345860</v>
      </c>
      <c r="K63" s="382">
        <f t="shared" si="14"/>
        <v>371155</v>
      </c>
      <c r="L63" s="382">
        <f t="shared" si="14"/>
        <v>350090</v>
      </c>
      <c r="M63" s="382">
        <f t="shared" si="14"/>
        <v>369580</v>
      </c>
      <c r="N63" s="382">
        <f t="shared" si="14"/>
        <v>376285</v>
      </c>
      <c r="O63" s="382">
        <f t="shared" si="14"/>
        <v>420560</v>
      </c>
      <c r="P63" s="382">
        <f t="shared" si="14"/>
        <v>427555</v>
      </c>
      <c r="Q63" s="382">
        <f t="shared" si="14"/>
        <v>428975</v>
      </c>
      <c r="R63" s="382">
        <f t="shared" si="14"/>
        <v>525148.22800000012</v>
      </c>
      <c r="S63" s="382">
        <f t="shared" si="14"/>
        <v>532778.89199999999</v>
      </c>
      <c r="T63" s="382">
        <f t="shared" si="14"/>
        <v>538444.55599999998</v>
      </c>
      <c r="U63" s="382">
        <f t="shared" si="2"/>
        <v>4579741</v>
      </c>
    </row>
    <row r="64" spans="1:21" s="119" customFormat="1" ht="25.05" customHeight="1" x14ac:dyDescent="0.3">
      <c r="A64" s="117"/>
      <c r="B64" s="117"/>
      <c r="C64" s="147" t="s">
        <v>15</v>
      </c>
      <c r="D64" s="117"/>
      <c r="E64" s="117"/>
      <c r="F64" s="382">
        <f>(F63*0.2)*-1</f>
        <v>-61821</v>
      </c>
      <c r="G64" s="382">
        <f t="shared" ref="G64:T64" si="15">(G63*0.2)*-1</f>
        <v>-81905.200000000012</v>
      </c>
      <c r="H64" s="382">
        <f t="shared" si="15"/>
        <v>-68185</v>
      </c>
      <c r="I64" s="382">
        <f t="shared" si="15"/>
        <v>-86025</v>
      </c>
      <c r="J64" s="382">
        <f t="shared" si="15"/>
        <v>-69172</v>
      </c>
      <c r="K64" s="382">
        <f t="shared" si="15"/>
        <v>-74231</v>
      </c>
      <c r="L64" s="382">
        <f t="shared" si="15"/>
        <v>-70018</v>
      </c>
      <c r="M64" s="382">
        <f t="shared" si="15"/>
        <v>-73916</v>
      </c>
      <c r="N64" s="382">
        <f t="shared" si="15"/>
        <v>-75257</v>
      </c>
      <c r="O64" s="382">
        <f t="shared" si="15"/>
        <v>-84112</v>
      </c>
      <c r="P64" s="382">
        <f t="shared" si="15"/>
        <v>-85511</v>
      </c>
      <c r="Q64" s="382">
        <f t="shared" si="15"/>
        <v>-85795</v>
      </c>
      <c r="R64" s="382">
        <f t="shared" si="15"/>
        <v>-105029.64560000003</v>
      </c>
      <c r="S64" s="382">
        <f t="shared" si="15"/>
        <v>-106555.77840000001</v>
      </c>
      <c r="T64" s="382">
        <f t="shared" si="15"/>
        <v>-107688.9112</v>
      </c>
      <c r="U64" s="382">
        <f t="shared" si="2"/>
        <v>-915948.2</v>
      </c>
    </row>
    <row r="65" spans="1:21" s="119" customFormat="1" ht="14.4" customHeight="1" x14ac:dyDescent="0.3">
      <c r="A65" s="174"/>
      <c r="B65" s="174"/>
      <c r="C65" s="175" t="s">
        <v>16</v>
      </c>
      <c r="D65" s="174"/>
      <c r="E65" s="174"/>
      <c r="F65" s="309">
        <f>F63+F64</f>
        <v>247284</v>
      </c>
      <c r="G65" s="309">
        <f>G63+G64</f>
        <v>327620.8</v>
      </c>
      <c r="H65" s="309">
        <f t="shared" ref="H65:T65" si="16">H63+H64</f>
        <v>272740</v>
      </c>
      <c r="I65" s="309">
        <f t="shared" si="16"/>
        <v>344100</v>
      </c>
      <c r="J65" s="309">
        <f t="shared" si="16"/>
        <v>276688</v>
      </c>
      <c r="K65" s="309">
        <f t="shared" si="16"/>
        <v>296924</v>
      </c>
      <c r="L65" s="309">
        <f t="shared" si="16"/>
        <v>280072</v>
      </c>
      <c r="M65" s="309">
        <f t="shared" si="16"/>
        <v>295664</v>
      </c>
      <c r="N65" s="309">
        <f t="shared" si="16"/>
        <v>301028</v>
      </c>
      <c r="O65" s="309">
        <f t="shared" si="16"/>
        <v>336448</v>
      </c>
      <c r="P65" s="309">
        <f t="shared" si="16"/>
        <v>342044</v>
      </c>
      <c r="Q65" s="309">
        <f t="shared" si="16"/>
        <v>343180</v>
      </c>
      <c r="R65" s="309">
        <f t="shared" si="16"/>
        <v>420118.58240000007</v>
      </c>
      <c r="S65" s="309">
        <f t="shared" si="16"/>
        <v>426223.11359999998</v>
      </c>
      <c r="T65" s="309">
        <f t="shared" si="16"/>
        <v>430755.64480000001</v>
      </c>
      <c r="U65" s="310">
        <f t="shared" si="2"/>
        <v>3663792.8</v>
      </c>
    </row>
    <row r="66" spans="1:21" x14ac:dyDescent="0.3">
      <c r="F66"/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  <c r="G79" s="1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</sheetData>
  <phoneticPr fontId="7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1730D-B4C0-4EB7-B0AE-D7039DAD3DD5}">
  <sheetPr codeName="Sheet37"/>
  <dimension ref="B2:V101"/>
  <sheetViews>
    <sheetView showGridLines="0" topLeftCell="B64" zoomScale="97" zoomScaleNormal="97" workbookViewId="0">
      <selection activeCell="R83" sqref="R83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1" t="s">
        <v>329</v>
      </c>
      <c r="C2" s="181"/>
      <c r="D2" s="181"/>
      <c r="E2" s="181"/>
      <c r="F2" s="154"/>
      <c r="G2" s="154"/>
      <c r="H2" s="154"/>
      <c r="I2" s="154"/>
      <c r="J2" s="154"/>
      <c r="K2" s="387" t="s">
        <v>257</v>
      </c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4" spans="2:22" x14ac:dyDescent="0.3">
      <c r="B4" s="199" t="s">
        <v>27</v>
      </c>
      <c r="C4" s="199"/>
      <c r="D4" s="199"/>
      <c r="E4" s="200">
        <v>2024</v>
      </c>
      <c r="F4" s="200">
        <v>2025</v>
      </c>
      <c r="G4" s="200">
        <v>2026</v>
      </c>
      <c r="H4" s="200">
        <v>2027</v>
      </c>
      <c r="I4" s="200">
        <v>2028</v>
      </c>
      <c r="J4" s="199"/>
      <c r="K4" s="200" t="s">
        <v>32</v>
      </c>
      <c r="L4" s="200" t="s">
        <v>33</v>
      </c>
      <c r="M4" s="200" t="s">
        <v>34</v>
      </c>
      <c r="N4" s="200" t="s">
        <v>35</v>
      </c>
      <c r="O4" s="200" t="s">
        <v>36</v>
      </c>
      <c r="P4" s="200" t="s">
        <v>37</v>
      </c>
      <c r="Q4" s="200" t="s">
        <v>38</v>
      </c>
      <c r="R4" s="200" t="s">
        <v>39</v>
      </c>
      <c r="S4" s="200" t="s">
        <v>40</v>
      </c>
      <c r="T4" s="200" t="s">
        <v>41</v>
      </c>
      <c r="U4" s="200" t="s">
        <v>42</v>
      </c>
      <c r="V4" s="200" t="s">
        <v>43</v>
      </c>
    </row>
    <row r="5" spans="2:22" x14ac:dyDescent="0.3">
      <c r="B5" t="s">
        <v>44</v>
      </c>
      <c r="E5" s="211">
        <f>'Statements Summary 2024'!V5</f>
        <v>449900</v>
      </c>
      <c r="F5" s="211">
        <f>'Statements Summary 2025'!V5</f>
        <v>586218.73300000001</v>
      </c>
      <c r="G5" s="211">
        <f>'Statements Summary 2026'!V5</f>
        <v>661710</v>
      </c>
      <c r="H5" s="211">
        <f t="shared" ref="H5:H17" si="0">V5</f>
        <v>994995</v>
      </c>
      <c r="I5" s="211">
        <f>'Statements Summary 2028'!V5</f>
        <v>1118310</v>
      </c>
      <c r="K5" s="211">
        <f>'CF 2027'!G11</f>
        <v>883175</v>
      </c>
      <c r="L5" s="211">
        <f>'CF 2027'!H11</f>
        <v>904835</v>
      </c>
      <c r="M5" s="211">
        <f>'CF 2027'!I11</f>
        <v>911350</v>
      </c>
      <c r="N5" s="211">
        <f>'CF 2027'!J11</f>
        <v>917485</v>
      </c>
      <c r="O5" s="211">
        <f>'CF 2027'!K11</f>
        <v>923530</v>
      </c>
      <c r="P5" s="211">
        <f>'CF 2027'!L11</f>
        <v>929665</v>
      </c>
      <c r="Q5" s="211">
        <f>'CF 2027'!M11</f>
        <v>936180</v>
      </c>
      <c r="R5" s="211">
        <f>'CF 2027'!N11</f>
        <v>959660</v>
      </c>
      <c r="S5" s="211">
        <f>'CF 2027'!O11</f>
        <v>967035</v>
      </c>
      <c r="T5" s="211">
        <f>'CF 2027'!P11</f>
        <v>973840</v>
      </c>
      <c r="U5" s="211">
        <f>'CF 2027'!Q11</f>
        <v>987120</v>
      </c>
      <c r="V5" s="211">
        <f>'CF 2027'!R11</f>
        <v>994995</v>
      </c>
    </row>
    <row r="6" spans="2:22" x14ac:dyDescent="0.3">
      <c r="B6" t="s">
        <v>45</v>
      </c>
      <c r="E6" s="211">
        <f>'Statements Summary 2024'!V6</f>
        <v>-625</v>
      </c>
      <c r="F6" s="211">
        <f>'Statements Summary 2025'!V6</f>
        <v>-625</v>
      </c>
      <c r="G6" s="211">
        <f>'Statements Summary 2026'!V6</f>
        <v>-625</v>
      </c>
      <c r="H6" s="211">
        <f t="shared" si="0"/>
        <v>-625</v>
      </c>
      <c r="I6" s="211">
        <f>'Statements Summary 2028'!V6</f>
        <v>-625</v>
      </c>
      <c r="K6" s="211">
        <f>'CF 2027'!G18</f>
        <v>-625</v>
      </c>
      <c r="L6" s="211">
        <f>'CF 2027'!H18</f>
        <v>-625</v>
      </c>
      <c r="M6" s="211">
        <f>'CF 2027'!I18</f>
        <v>-625</v>
      </c>
      <c r="N6" s="211">
        <f>'CF 2027'!J18</f>
        <v>-625</v>
      </c>
      <c r="O6" s="211">
        <f>'CF 2027'!K18</f>
        <v>-625</v>
      </c>
      <c r="P6" s="211">
        <f>'CF 2027'!L18</f>
        <v>-625</v>
      </c>
      <c r="Q6" s="211">
        <f>'CF 2027'!M18</f>
        <v>-625</v>
      </c>
      <c r="R6" s="211">
        <f>'CF 2027'!N18</f>
        <v>-625</v>
      </c>
      <c r="S6" s="211">
        <f>'CF 2027'!O18</f>
        <v>-625</v>
      </c>
      <c r="T6" s="211">
        <f>'CF 2027'!P18</f>
        <v>-625</v>
      </c>
      <c r="U6" s="211">
        <f>'CF 2027'!Q18</f>
        <v>-625</v>
      </c>
      <c r="V6" s="211">
        <f>'CF 2027'!R18</f>
        <v>-625</v>
      </c>
    </row>
    <row r="7" spans="2:22" x14ac:dyDescent="0.3">
      <c r="B7" t="s">
        <v>46</v>
      </c>
      <c r="E7" s="211">
        <f>'Statements Summary 2024'!V7</f>
        <v>-16818</v>
      </c>
      <c r="F7" s="211">
        <f>'Statements Summary 2025'!V7</f>
        <v>-16818</v>
      </c>
      <c r="G7" s="211">
        <f>'Statements Summary 2026'!V7</f>
        <v>0</v>
      </c>
      <c r="H7" s="211">
        <f t="shared" si="0"/>
        <v>0</v>
      </c>
      <c r="I7" s="211">
        <f>'Statements Summary 2028'!V7</f>
        <v>0</v>
      </c>
      <c r="K7" s="211" t="s">
        <v>195</v>
      </c>
      <c r="L7" s="211">
        <f>'CF 2027'!H34</f>
        <v>0</v>
      </c>
      <c r="M7" s="211">
        <f>'CF 2027'!I34</f>
        <v>0</v>
      </c>
      <c r="N7" s="211">
        <f>'CF 2027'!J34</f>
        <v>0</v>
      </c>
      <c r="O7" s="211">
        <f>'CF 2027'!K34</f>
        <v>0</v>
      </c>
      <c r="P7" s="211">
        <f>'CF 2027'!L34</f>
        <v>0</v>
      </c>
      <c r="Q7" s="211">
        <f>'CF 2027'!M34</f>
        <v>0</v>
      </c>
      <c r="R7" s="211">
        <f>'CF 2027'!N34</f>
        <v>0</v>
      </c>
      <c r="S7" s="211">
        <f>'CF 2027'!O34</f>
        <v>0</v>
      </c>
      <c r="T7" s="211">
        <f>'CF 2027'!P34</f>
        <v>0</v>
      </c>
      <c r="U7" s="211">
        <f>'CF 2027'!Q34</f>
        <v>0</v>
      </c>
      <c r="V7" s="211">
        <f>'CF 2027'!R34</f>
        <v>0</v>
      </c>
    </row>
    <row r="8" spans="2:22" x14ac:dyDescent="0.3">
      <c r="B8" t="s">
        <v>18</v>
      </c>
      <c r="E8" s="211">
        <f>'Statements Summary 2024'!V8</f>
        <v>290479.59999999998</v>
      </c>
      <c r="F8" s="211">
        <f>'Statements Summary 2025'!V8</f>
        <v>439897.78639999998</v>
      </c>
      <c r="G8" s="211">
        <f>'Statements Summary 2026'!V8</f>
        <v>529128</v>
      </c>
      <c r="H8" s="211">
        <f t="shared" si="0"/>
        <v>807025.6</v>
      </c>
      <c r="I8" s="211">
        <f>'Statements Summary 2028'!V8</f>
        <v>906857.6</v>
      </c>
      <c r="K8" s="211">
        <f>'CF 2027'!G23</f>
        <v>719816.4</v>
      </c>
      <c r="L8" s="211">
        <f>'CF 2027'!H23</f>
        <v>737144.4</v>
      </c>
      <c r="M8" s="211">
        <f>'CF 2027'!I23</f>
        <v>742356.4</v>
      </c>
      <c r="N8" s="211">
        <f>'CF 2027'!J23</f>
        <v>747264.4</v>
      </c>
      <c r="O8" s="211">
        <f>'CF 2027'!K23</f>
        <v>752100.4</v>
      </c>
      <c r="P8" s="211">
        <f>'CF 2027'!L23</f>
        <v>757008.4</v>
      </c>
      <c r="Q8" s="211">
        <f>'CF 2027'!M23</f>
        <v>762220.4</v>
      </c>
      <c r="R8" s="211">
        <f>'CF 2027'!N23</f>
        <v>781004.4</v>
      </c>
      <c r="S8" s="211">
        <f>'CF 2027'!O23</f>
        <v>786904.4</v>
      </c>
      <c r="T8" s="211">
        <f>'CF 2027'!P23</f>
        <v>792348.4</v>
      </c>
      <c r="U8" s="211">
        <f>'CF 2027'!Q23</f>
        <v>802972.4</v>
      </c>
      <c r="V8" s="211">
        <f>'CF 2027'!R23</f>
        <v>807025.6</v>
      </c>
    </row>
    <row r="9" spans="2:22" x14ac:dyDescent="0.3">
      <c r="B9" t="s">
        <v>47</v>
      </c>
      <c r="E9" s="211" t="str">
        <f>'Statements Summary 2024'!V9</f>
        <v>-</v>
      </c>
      <c r="F9" s="211" t="str">
        <f>'Statements Summary 2025'!V9</f>
        <v>-</v>
      </c>
      <c r="G9" s="211">
        <f>'Statements Summary 2026'!V9</f>
        <v>0</v>
      </c>
      <c r="H9" s="211">
        <f t="shared" si="0"/>
        <v>0</v>
      </c>
      <c r="I9" s="211">
        <f>'Statements Summary 2028'!V9</f>
        <v>0</v>
      </c>
      <c r="K9" s="211">
        <f>'CF 2027'!G28</f>
        <v>0</v>
      </c>
      <c r="L9" s="211">
        <f>'CF 2027'!H28</f>
        <v>0</v>
      </c>
      <c r="M9" s="211">
        <f>'CF 2027'!I28</f>
        <v>0</v>
      </c>
      <c r="N9" s="211">
        <f>'CF 2027'!J28</f>
        <v>0</v>
      </c>
      <c r="O9" s="211">
        <f>'CF 2027'!K28</f>
        <v>0</v>
      </c>
      <c r="P9" s="211">
        <f>'CF 2027'!L28</f>
        <v>0</v>
      </c>
      <c r="Q9" s="211">
        <f>'CF 2027'!M28</f>
        <v>0</v>
      </c>
      <c r="R9" s="211">
        <f>'CF 2027'!N28</f>
        <v>0</v>
      </c>
      <c r="S9" s="211">
        <f>'CF 2027'!O28</f>
        <v>0</v>
      </c>
      <c r="T9" s="211">
        <f>'CF 2027'!P28</f>
        <v>0</v>
      </c>
      <c r="U9" s="211">
        <f>'CF 2027'!Q28</f>
        <v>0</v>
      </c>
      <c r="V9" s="211">
        <f>'CF 2027'!R28</f>
        <v>0</v>
      </c>
    </row>
    <row r="10" spans="2:22" x14ac:dyDescent="0.3">
      <c r="B10" t="s">
        <v>48</v>
      </c>
      <c r="E10" s="211" t="str">
        <f>'Statements Summary 2024'!V10</f>
        <v>-</v>
      </c>
      <c r="F10" s="211" t="str">
        <f>'Statements Summary 2025'!V10</f>
        <v>-</v>
      </c>
      <c r="G10" s="211" t="str">
        <f>'Statements Summary 2026'!V10</f>
        <v>-</v>
      </c>
      <c r="H10" s="211" t="str">
        <f t="shared" si="0"/>
        <v>-</v>
      </c>
      <c r="I10" s="211" t="str">
        <f>'Statements Summary 2028'!V10</f>
        <v>-</v>
      </c>
      <c r="K10" s="211" t="s">
        <v>195</v>
      </c>
      <c r="L10" s="211" t="s">
        <v>195</v>
      </c>
      <c r="M10" s="211" t="s">
        <v>195</v>
      </c>
      <c r="N10" s="211" t="s">
        <v>195</v>
      </c>
      <c r="O10" s="211" t="s">
        <v>195</v>
      </c>
      <c r="P10" s="211" t="s">
        <v>195</v>
      </c>
      <c r="Q10" s="211" t="s">
        <v>195</v>
      </c>
      <c r="R10" s="211" t="s">
        <v>195</v>
      </c>
      <c r="S10" s="211" t="s">
        <v>195</v>
      </c>
      <c r="T10" s="211" t="s">
        <v>195</v>
      </c>
      <c r="U10" s="211" t="s">
        <v>195</v>
      </c>
      <c r="V10" s="211" t="s">
        <v>195</v>
      </c>
    </row>
    <row r="11" spans="2:22" x14ac:dyDescent="0.3">
      <c r="B11" t="s">
        <v>49</v>
      </c>
      <c r="E11" s="211" t="str">
        <f>'Statements Summary 2024'!V11</f>
        <v>-</v>
      </c>
      <c r="F11" s="211" t="str">
        <f>'Statements Summary 2025'!V11</f>
        <v>-</v>
      </c>
      <c r="G11" s="211" t="str">
        <f>'Statements Summary 2026'!V11</f>
        <v>-</v>
      </c>
      <c r="H11" s="211" t="str">
        <f t="shared" si="0"/>
        <v>-</v>
      </c>
      <c r="I11" s="211" t="str">
        <f>'Statements Summary 2028'!V11</f>
        <v>-</v>
      </c>
      <c r="K11" s="211">
        <f>'CF 2027'!G28</f>
        <v>0</v>
      </c>
      <c r="L11" s="211" t="s">
        <v>195</v>
      </c>
      <c r="M11" s="211" t="s">
        <v>195</v>
      </c>
      <c r="N11" s="211" t="s">
        <v>195</v>
      </c>
      <c r="O11" s="211" t="s">
        <v>195</v>
      </c>
      <c r="P11" s="211" t="s">
        <v>195</v>
      </c>
      <c r="Q11" s="211" t="s">
        <v>195</v>
      </c>
      <c r="R11" s="211" t="s">
        <v>195</v>
      </c>
      <c r="S11" s="211" t="s">
        <v>195</v>
      </c>
      <c r="T11" s="211" t="s">
        <v>195</v>
      </c>
      <c r="U11" s="211" t="s">
        <v>195</v>
      </c>
      <c r="V11" s="211" t="s">
        <v>195</v>
      </c>
    </row>
    <row r="12" spans="2:22" x14ac:dyDescent="0.3">
      <c r="B12" t="s">
        <v>50</v>
      </c>
      <c r="E12" s="211">
        <f>'Statements Summary 2024'!V12</f>
        <v>-16818</v>
      </c>
      <c r="F12" s="211">
        <f>'Statements Summary 2025'!V12</f>
        <v>-16818</v>
      </c>
      <c r="G12" s="211">
        <f>'Statements Summary 2026'!V12</f>
        <v>0</v>
      </c>
      <c r="H12" s="211">
        <f t="shared" si="0"/>
        <v>0</v>
      </c>
      <c r="I12" s="211">
        <f>'Statements Summary 2028'!V12</f>
        <v>0</v>
      </c>
      <c r="K12" s="211" t="s">
        <v>195</v>
      </c>
      <c r="L12" s="211">
        <f>'CF 2027'!H34</f>
        <v>0</v>
      </c>
      <c r="M12" s="211">
        <f>'CF 2027'!I34</f>
        <v>0</v>
      </c>
      <c r="N12" s="211">
        <f>'CF 2027'!J34</f>
        <v>0</v>
      </c>
      <c r="O12" s="211">
        <f>'CF 2027'!K34</f>
        <v>0</v>
      </c>
      <c r="P12" s="211">
        <f>'CF 2027'!L34</f>
        <v>0</v>
      </c>
      <c r="Q12" s="211">
        <f>'CF 2027'!M34</f>
        <v>0</v>
      </c>
      <c r="R12" s="211">
        <f>'CF 2027'!N34</f>
        <v>0</v>
      </c>
      <c r="S12" s="211">
        <f>'CF 2027'!O34</f>
        <v>0</v>
      </c>
      <c r="T12" s="211">
        <f>'CF 2027'!P34</f>
        <v>0</v>
      </c>
      <c r="U12" s="211">
        <f>'CF 2027'!Q34</f>
        <v>0</v>
      </c>
      <c r="V12" s="211">
        <f>'CF 2027'!R34</f>
        <v>0</v>
      </c>
    </row>
    <row r="13" spans="2:22" x14ac:dyDescent="0.3">
      <c r="B13" t="s">
        <v>51</v>
      </c>
      <c r="E13" s="211" t="str">
        <f>'Statements Summary 2024'!V13</f>
        <v>-</v>
      </c>
      <c r="F13" s="211" t="str">
        <f>'Statements Summary 2025'!V13</f>
        <v>-</v>
      </c>
      <c r="G13" s="211" t="str">
        <f>'Statements Summary 2026'!V13</f>
        <v>-</v>
      </c>
      <c r="H13" s="211" t="str">
        <f t="shared" si="0"/>
        <v>-</v>
      </c>
      <c r="I13" s="211" t="str">
        <f>'Statements Summary 2028'!V13</f>
        <v>-</v>
      </c>
      <c r="K13" s="211" t="s">
        <v>195</v>
      </c>
      <c r="L13" s="211" t="s">
        <v>195</v>
      </c>
      <c r="M13" s="211" t="s">
        <v>195</v>
      </c>
      <c r="N13" s="211" t="s">
        <v>195</v>
      </c>
      <c r="O13" s="211" t="s">
        <v>195</v>
      </c>
      <c r="P13" s="211" t="s">
        <v>195</v>
      </c>
      <c r="Q13" s="211" t="s">
        <v>195</v>
      </c>
      <c r="R13" s="211" t="s">
        <v>195</v>
      </c>
      <c r="S13" s="211" t="s">
        <v>195</v>
      </c>
      <c r="T13" s="211" t="s">
        <v>195</v>
      </c>
      <c r="U13" s="211" t="s">
        <v>195</v>
      </c>
      <c r="V13" s="211" t="s">
        <v>195</v>
      </c>
    </row>
    <row r="14" spans="2:22" x14ac:dyDescent="0.3">
      <c r="B14" t="s">
        <v>52</v>
      </c>
      <c r="E14" s="211" t="str">
        <f>'Statements Summary 2024'!V14</f>
        <v>-</v>
      </c>
      <c r="F14" s="211" t="str">
        <f>'Statements Summary 2025'!V14</f>
        <v>-</v>
      </c>
      <c r="G14" s="211" t="str">
        <f>'Statements Summary 2026'!V14</f>
        <v>-</v>
      </c>
      <c r="H14" s="211" t="str">
        <f t="shared" si="0"/>
        <v>-</v>
      </c>
      <c r="I14" s="211" t="str">
        <f>'Statements Summary 2028'!V14</f>
        <v>-</v>
      </c>
      <c r="K14" s="211" t="s">
        <v>195</v>
      </c>
      <c r="L14" s="211" t="s">
        <v>195</v>
      </c>
      <c r="M14" s="211" t="s">
        <v>195</v>
      </c>
      <c r="N14" s="211" t="s">
        <v>195</v>
      </c>
      <c r="O14" s="211" t="s">
        <v>195</v>
      </c>
      <c r="P14" s="211" t="s">
        <v>195</v>
      </c>
      <c r="Q14" s="211" t="s">
        <v>195</v>
      </c>
      <c r="R14" s="211" t="s">
        <v>195</v>
      </c>
      <c r="S14" s="211" t="s">
        <v>195</v>
      </c>
      <c r="T14" s="211" t="s">
        <v>195</v>
      </c>
      <c r="U14" s="211" t="s">
        <v>195</v>
      </c>
      <c r="V14" s="211" t="s">
        <v>195</v>
      </c>
    </row>
    <row r="15" spans="2:22" x14ac:dyDescent="0.3">
      <c r="B15" t="s">
        <v>53</v>
      </c>
      <c r="E15" s="211">
        <f>'Statements Summary 2024'!V15</f>
        <v>-16818</v>
      </c>
      <c r="F15" s="211">
        <f>'Statements Summary 2025'!V15</f>
        <v>-16818</v>
      </c>
      <c r="G15" s="211">
        <f>'Statements Summary 2026'!V15</f>
        <v>0</v>
      </c>
      <c r="H15" s="211">
        <f t="shared" si="0"/>
        <v>0</v>
      </c>
      <c r="I15" s="211">
        <f>'Statements Summary 2028'!V15</f>
        <v>0</v>
      </c>
      <c r="K15" s="211" t="s">
        <v>195</v>
      </c>
      <c r="L15" s="211">
        <f>'CF 2027'!H34</f>
        <v>0</v>
      </c>
      <c r="M15" s="211">
        <f>'CF 2027'!I34</f>
        <v>0</v>
      </c>
      <c r="N15" s="211">
        <f>'CF 2027'!J34</f>
        <v>0</v>
      </c>
      <c r="O15" s="211">
        <f>'CF 2027'!K34</f>
        <v>0</v>
      </c>
      <c r="P15" s="211">
        <f>'CF 2027'!L34</f>
        <v>0</v>
      </c>
      <c r="Q15" s="211">
        <f>'CF 2027'!M34</f>
        <v>0</v>
      </c>
      <c r="R15" s="211">
        <f>'CF 2027'!N34</f>
        <v>0</v>
      </c>
      <c r="S15" s="211">
        <f>'CF 2027'!O34</f>
        <v>0</v>
      </c>
      <c r="T15" s="211">
        <f>'CF 2027'!P34</f>
        <v>0</v>
      </c>
      <c r="U15" s="211">
        <f>'CF 2027'!Q34</f>
        <v>0</v>
      </c>
      <c r="V15" s="211">
        <f>'CF 2027'!R34</f>
        <v>0</v>
      </c>
    </row>
    <row r="16" spans="2:22" x14ac:dyDescent="0.3">
      <c r="B16" t="s">
        <v>200</v>
      </c>
      <c r="E16" s="211">
        <f>'Statements Summary 2024'!V16</f>
        <v>290479.59999999998</v>
      </c>
      <c r="F16" s="211">
        <f>'Statements Summary 2025'!V16</f>
        <v>439897.78639999998</v>
      </c>
      <c r="G16" s="211">
        <f>'Statements Summary 2026'!V16</f>
        <v>529128</v>
      </c>
      <c r="H16" s="211">
        <f t="shared" si="0"/>
        <v>807025.6</v>
      </c>
      <c r="I16" s="211">
        <f>'Statements Summary 2028'!V16</f>
        <v>906857.6</v>
      </c>
      <c r="K16" s="211">
        <f>'CF 2027'!G23</f>
        <v>719816.4</v>
      </c>
      <c r="L16" s="211">
        <f>'CF 2027'!H23</f>
        <v>737144.4</v>
      </c>
      <c r="M16" s="211">
        <f>'CF 2027'!I23</f>
        <v>742356.4</v>
      </c>
      <c r="N16" s="211">
        <f>'CF 2027'!J23</f>
        <v>747264.4</v>
      </c>
      <c r="O16" s="211">
        <f>'CF 2027'!K23</f>
        <v>752100.4</v>
      </c>
      <c r="P16" s="211">
        <f>'CF 2027'!L23</f>
        <v>757008.4</v>
      </c>
      <c r="Q16" s="211">
        <f>'CF 2027'!M23</f>
        <v>762220.4</v>
      </c>
      <c r="R16" s="211">
        <f>'CF 2027'!N23</f>
        <v>781004.4</v>
      </c>
      <c r="S16" s="211">
        <f>'CF 2027'!O23</f>
        <v>786904.4</v>
      </c>
      <c r="T16" s="211">
        <f>'CF 2027'!P23</f>
        <v>792348.4</v>
      </c>
      <c r="U16" s="211">
        <f>'CF 2027'!Q23</f>
        <v>802972.4</v>
      </c>
      <c r="V16" s="211">
        <f>'CF 2027'!R23</f>
        <v>807025.6</v>
      </c>
    </row>
    <row r="17" spans="2:22" x14ac:dyDescent="0.3">
      <c r="B17" t="s">
        <v>54</v>
      </c>
      <c r="E17" s="211">
        <f>'Statements Summary 2024'!V17</f>
        <v>564141.19999999995</v>
      </c>
      <c r="F17" s="211">
        <f>'Statements Summary 2025'!V17</f>
        <v>862977.57279999997</v>
      </c>
      <c r="G17" s="211">
        <f>'Statements Summary 2026'!V17</f>
        <v>1058256</v>
      </c>
      <c r="H17" s="211">
        <f t="shared" si="0"/>
        <v>1614051.2000000002</v>
      </c>
      <c r="I17" s="211">
        <f>'Statements Summary 2028'!V17</f>
        <v>1813715.2000000002</v>
      </c>
      <c r="K17" s="211">
        <f>'CF 2027'!G44+'CF 2027'!G21+'CF 2027'!G22</f>
        <v>1439632.7999999998</v>
      </c>
      <c r="L17" s="211">
        <f>'CF 2027'!H44+'CF 2027'!H21+'CF 2027'!H22</f>
        <v>1474288.7999999998</v>
      </c>
      <c r="M17" s="211">
        <f>'CF 2027'!I44+'CF 2027'!I21+'CF 2027'!I22</f>
        <v>1484712.7999999998</v>
      </c>
      <c r="N17" s="211">
        <f>'CF 2027'!J44+'CF 2027'!J21+'CF 2027'!J22</f>
        <v>1494528.7999999998</v>
      </c>
      <c r="O17" s="211">
        <f>'CF 2027'!K44+'CF 2027'!K21+'CF 2027'!K22</f>
        <v>1504200.7999999998</v>
      </c>
      <c r="P17" s="211">
        <f>'CF 2027'!L44+'CF 2027'!L21+'CF 2027'!L22</f>
        <v>1514016.7999999998</v>
      </c>
      <c r="Q17" s="211">
        <f>'CF 2027'!M44+'CF 2027'!M21+'CF 2027'!M22</f>
        <v>1524440.7999999998</v>
      </c>
      <c r="R17" s="211">
        <f>'CF 2027'!N44+'CF 2027'!N21+'CF 2027'!N22</f>
        <v>1562008.7999999998</v>
      </c>
      <c r="S17" s="211">
        <f>'CF 2027'!O44+'CF 2027'!O21+'CF 2027'!O22</f>
        <v>1573808.7999999998</v>
      </c>
      <c r="T17" s="211">
        <f>'CF 2027'!P44+'CF 2027'!P21+'CF 2027'!P22</f>
        <v>1584696.7999999998</v>
      </c>
      <c r="U17" s="211">
        <f>'CF 2027'!Q44+'CF 2027'!Q21+'CF 2027'!Q22</f>
        <v>1605944.7999999998</v>
      </c>
      <c r="V17" s="211">
        <f>'CF 2027'!R44+'CF 2027'!R21+'CF 2027'!R22</f>
        <v>1614051.2000000002</v>
      </c>
    </row>
    <row r="19" spans="2:22" x14ac:dyDescent="0.3">
      <c r="B19" s="181" t="s">
        <v>329</v>
      </c>
      <c r="C19" s="154"/>
      <c r="D19" s="154"/>
      <c r="E19" s="154"/>
      <c r="F19" s="154"/>
      <c r="G19" s="154"/>
      <c r="H19" s="154"/>
      <c r="I19" s="154"/>
      <c r="K19" s="387" t="s">
        <v>257</v>
      </c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</row>
    <row r="42" spans="2:22" x14ac:dyDescent="0.3">
      <c r="B42" s="181" t="s">
        <v>331</v>
      </c>
      <c r="C42" s="181"/>
      <c r="D42" s="181"/>
      <c r="E42" s="181"/>
      <c r="F42" s="154"/>
      <c r="G42" s="154"/>
      <c r="H42" s="154"/>
      <c r="I42" s="154"/>
      <c r="J42" s="154"/>
      <c r="K42" s="387" t="s">
        <v>250</v>
      </c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</row>
    <row r="44" spans="2:22" x14ac:dyDescent="0.3">
      <c r="B44" s="199" t="s">
        <v>27</v>
      </c>
      <c r="C44" s="199"/>
      <c r="D44" s="199"/>
      <c r="E44" s="200">
        <v>2024</v>
      </c>
      <c r="F44" s="200">
        <v>2025</v>
      </c>
      <c r="G44" s="200">
        <v>2026</v>
      </c>
      <c r="H44" s="200">
        <v>2027</v>
      </c>
      <c r="I44" s="200">
        <v>2028</v>
      </c>
      <c r="J44" s="199"/>
      <c r="K44" s="199" t="s">
        <v>32</v>
      </c>
      <c r="L44" s="199" t="s">
        <v>33</v>
      </c>
      <c r="M44" s="199" t="s">
        <v>34</v>
      </c>
      <c r="N44" s="199" t="s">
        <v>35</v>
      </c>
      <c r="O44" s="199" t="s">
        <v>36</v>
      </c>
      <c r="P44" s="199" t="s">
        <v>37</v>
      </c>
      <c r="Q44" s="199" t="s">
        <v>38</v>
      </c>
      <c r="R44" s="199" t="s">
        <v>39</v>
      </c>
      <c r="S44" s="199" t="s">
        <v>40</v>
      </c>
      <c r="T44" s="199" t="s">
        <v>41</v>
      </c>
      <c r="U44" s="199" t="s">
        <v>42</v>
      </c>
      <c r="V44" s="199" t="s">
        <v>43</v>
      </c>
    </row>
    <row r="45" spans="2:22" x14ac:dyDescent="0.3">
      <c r="B45" s="23" t="s">
        <v>2</v>
      </c>
      <c r="C45" s="23"/>
      <c r="D45" s="23"/>
      <c r="E45" s="201">
        <f>'Statements Summary 2024'!V44</f>
        <v>449900</v>
      </c>
      <c r="F45" s="201">
        <f>'Statements Summary 2025'!V45</f>
        <v>586218.73300000001</v>
      </c>
      <c r="G45" s="201">
        <f>'Statements Summary 2026'!V45</f>
        <v>661710</v>
      </c>
      <c r="H45" s="201">
        <f t="shared" ref="H45:H65" si="1">V45</f>
        <v>994995</v>
      </c>
      <c r="I45" s="201">
        <f>'Statements Summary 2028'!V45</f>
        <v>1118310</v>
      </c>
      <c r="K45" s="201">
        <f>'IS 2027'!F17</f>
        <v>883175</v>
      </c>
      <c r="L45" s="201">
        <f>'IS 2027'!G17</f>
        <v>904835</v>
      </c>
      <c r="M45" s="201">
        <f>'IS 2027'!H17</f>
        <v>911350</v>
      </c>
      <c r="N45" s="201">
        <f>'IS 2027'!I17</f>
        <v>917485</v>
      </c>
      <c r="O45" s="201">
        <f>'IS 2027'!J17</f>
        <v>923530</v>
      </c>
      <c r="P45" s="201">
        <f>'IS 2027'!K17</f>
        <v>929665</v>
      </c>
      <c r="Q45" s="201">
        <f>'IS 2027'!L17</f>
        <v>936180</v>
      </c>
      <c r="R45" s="201">
        <f>'IS 2027'!M17</f>
        <v>959660</v>
      </c>
      <c r="S45" s="201">
        <f>'IS 2027'!N17</f>
        <v>967035</v>
      </c>
      <c r="T45" s="201">
        <f>'IS 2027'!O17</f>
        <v>973840</v>
      </c>
      <c r="U45" s="201">
        <f>'IS 2027'!P17</f>
        <v>987120</v>
      </c>
      <c r="V45" s="201">
        <f>'IS 2027'!Q17</f>
        <v>994995</v>
      </c>
    </row>
    <row r="46" spans="2:22" x14ac:dyDescent="0.3">
      <c r="B46" t="s">
        <v>28</v>
      </c>
      <c r="E46" s="1">
        <f>'Statements Summary 2024'!V45</f>
        <v>3.166250445950767E-3</v>
      </c>
      <c r="F46" s="2">
        <f>'Statements Summary 2025'!V46</f>
        <v>5.7256851136311708E-3</v>
      </c>
      <c r="G46" s="2">
        <f>'Statements Summary 2026'!V46</f>
        <v>5.1468251446005212E-2</v>
      </c>
      <c r="H46" s="2">
        <f t="shared" si="1"/>
        <v>7.9777534646243622E-3</v>
      </c>
      <c r="I46" s="2">
        <f>'Statements Summary 2028'!V46</f>
        <v>7.9268869731369106E-3</v>
      </c>
      <c r="K46" s="2"/>
      <c r="L46" s="2">
        <f t="shared" ref="L46" si="2">(L45-K45)/K45</f>
        <v>2.452515073456563E-2</v>
      </c>
      <c r="M46" s="2">
        <f>(M45-L45)/L45</f>
        <v>7.2002077726878383E-3</v>
      </c>
      <c r="N46" s="2">
        <f>(N45-M45)/M45</f>
        <v>6.7317715477039561E-3</v>
      </c>
      <c r="O46" s="2">
        <f t="shared" ref="O46:T46" si="3">(O45-N45)/N45</f>
        <v>6.5886635748813333E-3</v>
      </c>
      <c r="P46" s="2">
        <f t="shared" si="3"/>
        <v>6.6429893993698091E-3</v>
      </c>
      <c r="Q46" s="2">
        <f t="shared" si="3"/>
        <v>7.0079006954117881E-3</v>
      </c>
      <c r="R46" s="2">
        <f t="shared" si="3"/>
        <v>2.5080646884146213E-2</v>
      </c>
      <c r="S46" s="2">
        <f t="shared" si="3"/>
        <v>7.685013442260801E-3</v>
      </c>
      <c r="T46" s="2">
        <f t="shared" si="3"/>
        <v>7.0369738427254443E-3</v>
      </c>
      <c r="U46" s="2">
        <f>(U45-T45)/T45</f>
        <v>1.363673704099236E-2</v>
      </c>
      <c r="V46" s="2">
        <f t="shared" ref="V46" si="4">(V45-U45)/U45</f>
        <v>7.9777534646243622E-3</v>
      </c>
    </row>
    <row r="47" spans="2:22" x14ac:dyDescent="0.3">
      <c r="B47" t="s">
        <v>3</v>
      </c>
      <c r="E47" s="1">
        <f>'Statements Summary 2024'!V46</f>
        <v>-10390</v>
      </c>
      <c r="F47" s="1">
        <f>'Statements Summary 2025'!V47</f>
        <v>-10390</v>
      </c>
      <c r="G47" s="1">
        <f>'Statements Summary 2026'!V47</f>
        <v>8610</v>
      </c>
      <c r="H47" s="1">
        <f t="shared" si="1"/>
        <v>-32544</v>
      </c>
      <c r="I47" s="1">
        <f>'Statements Summary 2028'!V47</f>
        <v>-38444</v>
      </c>
      <c r="K47" s="1">
        <f>'IS 2027'!F18</f>
        <v>-32544</v>
      </c>
      <c r="L47" s="1">
        <f>'IS 2027'!G18</f>
        <v>-32544</v>
      </c>
      <c r="M47" s="1">
        <f>'IS 2027'!H18</f>
        <v>-32544</v>
      </c>
      <c r="N47" s="1">
        <f>'IS 2027'!I18</f>
        <v>-32544</v>
      </c>
      <c r="O47" s="1">
        <f>'IS 2027'!J18</f>
        <v>-32544</v>
      </c>
      <c r="P47" s="1">
        <f>'IS 2027'!K18</f>
        <v>-32544</v>
      </c>
      <c r="Q47" s="1">
        <f>'IS 2027'!L18</f>
        <v>-32544</v>
      </c>
      <c r="R47" s="1">
        <f>'IS 2027'!M18</f>
        <v>-32544</v>
      </c>
      <c r="S47" s="1">
        <f>'IS 2027'!N18</f>
        <v>-32544</v>
      </c>
      <c r="T47" s="1">
        <f>'IS 2027'!O18</f>
        <v>-32544</v>
      </c>
      <c r="U47" s="1">
        <f>'IS 2027'!P18</f>
        <v>-32544</v>
      </c>
      <c r="V47" s="1">
        <f>'IS 2027'!Q18</f>
        <v>-32544</v>
      </c>
    </row>
    <row r="48" spans="2:22" x14ac:dyDescent="0.3">
      <c r="B48" t="s">
        <v>29</v>
      </c>
      <c r="E48" s="2">
        <f>'Statements Summary 2024'!V47</f>
        <v>-2.3094020893531898E-2</v>
      </c>
      <c r="F48" s="2">
        <f>'Statements Summary 2025'!V48</f>
        <v>-1.772375977619944E-2</v>
      </c>
      <c r="G48" s="2">
        <f>'Statements Summary 2026'!V48</f>
        <v>1.3011742304030467E-2</v>
      </c>
      <c r="H48" s="2">
        <f t="shared" si="1"/>
        <v>-3.2707702048754013E-2</v>
      </c>
      <c r="I48" s="2">
        <f>'Statements Summary 2028'!V48</f>
        <v>-3.4376872244726416E-2</v>
      </c>
      <c r="K48" s="2">
        <f>K47/K45</f>
        <v>-3.6848869136920766E-2</v>
      </c>
      <c r="L48" s="2">
        <f t="shared" ref="L48:V48" si="5">L47/L45</f>
        <v>-3.5966778473423333E-2</v>
      </c>
      <c r="M48" s="2">
        <f t="shared" si="5"/>
        <v>-3.570966149119438E-2</v>
      </c>
      <c r="N48" s="2">
        <f t="shared" si="5"/>
        <v>-3.5470879632909527E-2</v>
      </c>
      <c r="O48" s="2">
        <f t="shared" si="5"/>
        <v>-3.5238703669615498E-2</v>
      </c>
      <c r="P48" s="2">
        <f t="shared" si="5"/>
        <v>-3.500615813223043E-2</v>
      </c>
      <c r="Q48" s="2">
        <f t="shared" si="5"/>
        <v>-3.4762545664295326E-2</v>
      </c>
      <c r="R48" s="2">
        <f t="shared" si="5"/>
        <v>-3.3912010503720065E-2</v>
      </c>
      <c r="S48" s="2">
        <f t="shared" si="5"/>
        <v>-3.3653383796863612E-2</v>
      </c>
      <c r="T48" s="2">
        <f t="shared" si="5"/>
        <v>-3.3418220652263207E-2</v>
      </c>
      <c r="U48" s="2">
        <f t="shared" si="5"/>
        <v>-3.2968636032093365E-2</v>
      </c>
      <c r="V48" s="2">
        <f t="shared" si="5"/>
        <v>-3.2707702048754013E-2</v>
      </c>
    </row>
    <row r="49" spans="2:22" x14ac:dyDescent="0.3">
      <c r="B49" t="s">
        <v>4</v>
      </c>
      <c r="E49" s="1">
        <f>'Statements Summary 2024'!V48</f>
        <v>439510</v>
      </c>
      <c r="F49" s="1">
        <f>'Statements Summary 2025'!V49</f>
        <v>575828.73300000001</v>
      </c>
      <c r="G49" s="1">
        <f>'Statements Summary 2026'!V49</f>
        <v>670320</v>
      </c>
      <c r="H49" s="1">
        <f t="shared" si="1"/>
        <v>962451</v>
      </c>
      <c r="I49" s="1">
        <f>'Statements Summary 2028'!V49</f>
        <v>1079866</v>
      </c>
      <c r="K49" s="1">
        <f>'IS 2027'!F26</f>
        <v>850631</v>
      </c>
      <c r="L49" s="1">
        <f>'IS 2027'!G26</f>
        <v>872291</v>
      </c>
      <c r="M49" s="1">
        <f>'IS 2027'!H26</f>
        <v>878806</v>
      </c>
      <c r="N49" s="1">
        <f>'IS 2027'!I26</f>
        <v>884941</v>
      </c>
      <c r="O49" s="1">
        <f>'IS 2027'!J26</f>
        <v>890986</v>
      </c>
      <c r="P49" s="1">
        <f>'IS 2027'!K26</f>
        <v>897121</v>
      </c>
      <c r="Q49" s="1">
        <f>'IS 2027'!L26</f>
        <v>903636</v>
      </c>
      <c r="R49" s="1">
        <f>'IS 2027'!M26</f>
        <v>927116</v>
      </c>
      <c r="S49" s="1">
        <f>'IS 2027'!N26</f>
        <v>934491</v>
      </c>
      <c r="T49" s="1">
        <f>'IS 2027'!O26</f>
        <v>941296</v>
      </c>
      <c r="U49" s="1">
        <f>'IS 2027'!P26</f>
        <v>954576</v>
      </c>
      <c r="V49" s="1">
        <f>'IS 2027'!Q26</f>
        <v>962451</v>
      </c>
    </row>
    <row r="50" spans="2:22" x14ac:dyDescent="0.3">
      <c r="B50" t="s">
        <v>30</v>
      </c>
      <c r="E50" s="2">
        <f>'Statements Summary 2024'!V49</f>
        <v>0.97690597910646815</v>
      </c>
      <c r="F50" s="2">
        <f>'Statements Summary 2025'!V50</f>
        <v>0.98227624022380056</v>
      </c>
      <c r="G50" s="2">
        <f>'Statements Summary 2026'!V50</f>
        <v>1.0130117423040306</v>
      </c>
      <c r="H50" s="2">
        <f t="shared" si="1"/>
        <v>0.96729229795124594</v>
      </c>
      <c r="I50" s="2">
        <f>'Statements Summary 2028'!V50</f>
        <v>0.96562312775527359</v>
      </c>
      <c r="K50" s="2">
        <f>K49/K45</f>
        <v>0.96315113086307924</v>
      </c>
      <c r="L50" s="2">
        <f t="shared" ref="L50:V50" si="6">L49/L45</f>
        <v>0.96403322152657667</v>
      </c>
      <c r="M50" s="2">
        <f t="shared" si="6"/>
        <v>0.96429033850880563</v>
      </c>
      <c r="N50" s="2">
        <f t="shared" si="6"/>
        <v>0.96452912036709049</v>
      </c>
      <c r="O50" s="2">
        <f t="shared" si="6"/>
        <v>0.96476129633038454</v>
      </c>
      <c r="P50" s="2">
        <f t="shared" si="6"/>
        <v>0.9649938418677696</v>
      </c>
      <c r="Q50" s="2">
        <f t="shared" si="6"/>
        <v>0.96523745433570463</v>
      </c>
      <c r="R50" s="2">
        <f t="shared" si="6"/>
        <v>0.96608798949627994</v>
      </c>
      <c r="S50" s="2">
        <f t="shared" si="6"/>
        <v>0.96634661620313644</v>
      </c>
      <c r="T50" s="2">
        <f t="shared" si="6"/>
        <v>0.96658177934773681</v>
      </c>
      <c r="U50" s="2">
        <f t="shared" si="6"/>
        <v>0.96703136396790668</v>
      </c>
      <c r="V50" s="2">
        <f t="shared" si="6"/>
        <v>0.96729229795124594</v>
      </c>
    </row>
    <row r="51" spans="2:22" x14ac:dyDescent="0.3">
      <c r="B51" t="s">
        <v>6</v>
      </c>
      <c r="E51" s="1">
        <f>'Statements Summary 2024'!V50</f>
        <v>-2285</v>
      </c>
      <c r="F51" s="1">
        <f>'Statements Summary 2025'!V51</f>
        <v>-2285</v>
      </c>
      <c r="G51" s="1">
        <f>'Statements Summary 2026'!V51</f>
        <v>-2285</v>
      </c>
      <c r="H51" s="1">
        <f t="shared" si="1"/>
        <v>-17479</v>
      </c>
      <c r="I51" s="1">
        <f>'Statements Summary 2028'!V51</f>
        <v>-17479</v>
      </c>
      <c r="K51" s="1">
        <f>'IS 2027'!F37</f>
        <v>-28713</v>
      </c>
      <c r="L51" s="1">
        <f>'IS 2027'!G37</f>
        <v>-28713</v>
      </c>
      <c r="M51" s="1">
        <f>'IS 2027'!H37</f>
        <v>-28713</v>
      </c>
      <c r="N51" s="1">
        <f>'IS 2027'!I37</f>
        <v>-28713</v>
      </c>
      <c r="O51" s="1">
        <f>'IS 2027'!J37</f>
        <v>-28713</v>
      </c>
      <c r="P51" s="1">
        <f>'IS 2027'!K37</f>
        <v>-28713</v>
      </c>
      <c r="Q51" s="1">
        <f>'IS 2027'!L37</f>
        <v>-28713</v>
      </c>
      <c r="R51" s="1">
        <f>'IS 2027'!M37</f>
        <v>-28713</v>
      </c>
      <c r="S51" s="1">
        <f>'IS 2027'!N37</f>
        <v>-28713</v>
      </c>
      <c r="T51" s="1">
        <f>'IS 2027'!O37</f>
        <v>-28713</v>
      </c>
      <c r="U51" s="1">
        <f>'IS 2027'!P37</f>
        <v>-28713</v>
      </c>
      <c r="V51" s="1">
        <f>'IS 2027'!Q37</f>
        <v>-17479</v>
      </c>
    </row>
    <row r="52" spans="2:22" x14ac:dyDescent="0.3">
      <c r="B52" t="s">
        <v>29</v>
      </c>
      <c r="E52" s="2">
        <f>'Statements Summary 2024'!V51</f>
        <v>-5.0789064236496997E-3</v>
      </c>
      <c r="F52" s="2">
        <f>'Statements Summary 2025'!V52</f>
        <v>-3.8978624724365471E-3</v>
      </c>
      <c r="G52" s="2">
        <f>'Statements Summary 2026'!V52</f>
        <v>-3.4531743513019296E-3</v>
      </c>
      <c r="H52" s="2">
        <f t="shared" si="1"/>
        <v>-1.7566922446846468E-2</v>
      </c>
      <c r="I52" s="2">
        <f>'Statements Summary 2028'!V52</f>
        <v>-1.5629834303547318E-2</v>
      </c>
      <c r="K52" s="2">
        <f>K51/K45</f>
        <v>-3.2511110482067541E-2</v>
      </c>
      <c r="L52" s="2">
        <f t="shared" ref="L52:V52" si="7">L51/L45</f>
        <v>-3.1732857371786015E-2</v>
      </c>
      <c r="M52" s="2">
        <f t="shared" si="7"/>
        <v>-3.1506007571185601E-2</v>
      </c>
      <c r="N52" s="2">
        <f t="shared" si="7"/>
        <v>-3.1295334528629898E-2</v>
      </c>
      <c r="O52" s="2">
        <f t="shared" si="7"/>
        <v>-3.1090489751280412E-2</v>
      </c>
      <c r="P52" s="2">
        <f t="shared" si="7"/>
        <v>-3.0885318905197034E-2</v>
      </c>
      <c r="Q52" s="2">
        <f t="shared" si="7"/>
        <v>-3.067038390053195E-2</v>
      </c>
      <c r="R52" s="2">
        <f t="shared" si="7"/>
        <v>-2.9919971656628391E-2</v>
      </c>
      <c r="S52" s="2">
        <f t="shared" si="7"/>
        <v>-2.969178985248724E-2</v>
      </c>
      <c r="T52" s="2">
        <f t="shared" si="7"/>
        <v>-2.9484309537501027E-2</v>
      </c>
      <c r="U52" s="2">
        <f t="shared" si="7"/>
        <v>-2.9087648918064674E-2</v>
      </c>
      <c r="V52" s="2">
        <f t="shared" si="7"/>
        <v>-1.7566922446846468E-2</v>
      </c>
    </row>
    <row r="53" spans="2:22" x14ac:dyDescent="0.3">
      <c r="B53" t="s">
        <v>196</v>
      </c>
      <c r="E53" s="1">
        <f>'Statements Summary 2024'!V52</f>
        <v>-4063</v>
      </c>
      <c r="F53" s="1">
        <f>'Statements Summary 2025'!V53</f>
        <v>-4063</v>
      </c>
      <c r="G53" s="1">
        <f>'Statements Summary 2026'!V53</f>
        <v>-45063</v>
      </c>
      <c r="H53" s="1">
        <f t="shared" si="1"/>
        <v>-45063</v>
      </c>
      <c r="I53" s="1">
        <f>'Statements Summary 2028'!V53</f>
        <v>-45063</v>
      </c>
      <c r="K53" s="1">
        <f>'IS 2027'!F38</f>
        <v>-45063</v>
      </c>
      <c r="L53" s="1">
        <f>'IS 2027'!G38</f>
        <v>-45063</v>
      </c>
      <c r="M53" s="1">
        <f>'IS 2027'!H38</f>
        <v>-45063</v>
      </c>
      <c r="N53" s="1">
        <f>'IS 2027'!I38</f>
        <v>-45063</v>
      </c>
      <c r="O53" s="1">
        <f>'IS 2027'!J38</f>
        <v>-45063</v>
      </c>
      <c r="P53" s="1">
        <f>'IS 2027'!K38</f>
        <v>-45063</v>
      </c>
      <c r="Q53" s="1">
        <f>'IS 2027'!L38</f>
        <v>-45063</v>
      </c>
      <c r="R53" s="1">
        <f>'IS 2027'!M38</f>
        <v>-45063</v>
      </c>
      <c r="S53" s="1">
        <f>'IS 2027'!N38</f>
        <v>-45063</v>
      </c>
      <c r="T53" s="1">
        <f>'IS 2027'!O38</f>
        <v>-45063</v>
      </c>
      <c r="U53" s="1">
        <f>'IS 2027'!P38</f>
        <v>-45063</v>
      </c>
      <c r="V53" s="1">
        <f>'IS 2027'!Q38</f>
        <v>-45063</v>
      </c>
    </row>
    <row r="54" spans="2:22" x14ac:dyDescent="0.3">
      <c r="B54" t="s">
        <v>29</v>
      </c>
      <c r="E54" s="2">
        <f>'Statements Summary 2024'!V53</f>
        <v>-9.0308957546121355E-3</v>
      </c>
      <c r="F54" s="2">
        <f>'Statements Summary 2025'!V54</f>
        <v>-6.9308600549276541E-3</v>
      </c>
      <c r="G54" s="2">
        <f>'Statements Summary 2026'!V54</f>
        <v>-6.8100829668585938E-2</v>
      </c>
      <c r="H54" s="2">
        <f t="shared" si="1"/>
        <v>-4.5289674822486546E-2</v>
      </c>
      <c r="I54" s="2">
        <f>'Statements Summary 2028'!V54</f>
        <v>-4.0295624647906217E-2</v>
      </c>
      <c r="K54" s="2">
        <f>K53/K45</f>
        <v>-5.1023862767854616E-2</v>
      </c>
      <c r="L54" s="2">
        <f t="shared" ref="L54:V54" si="8">L53/L45</f>
        <v>-4.9802450170473071E-2</v>
      </c>
      <c r="M54" s="2">
        <f t="shared" si="8"/>
        <v>-4.9446425632303725E-2</v>
      </c>
      <c r="N54" s="2">
        <f t="shared" si="8"/>
        <v>-4.9115789358954096E-2</v>
      </c>
      <c r="O54" s="2">
        <f t="shared" si="8"/>
        <v>-4.8794300131019028E-2</v>
      </c>
      <c r="P54" s="2">
        <f t="shared" si="8"/>
        <v>-4.8472299161525928E-2</v>
      </c>
      <c r="Q54" s="2">
        <f t="shared" si="8"/>
        <v>-4.8134974043453183E-2</v>
      </c>
      <c r="R54" s="2">
        <f t="shared" si="8"/>
        <v>-4.6957255694725218E-2</v>
      </c>
      <c r="S54" s="2">
        <f t="shared" si="8"/>
        <v>-4.6599140672261084E-2</v>
      </c>
      <c r="T54" s="2">
        <f t="shared" si="8"/>
        <v>-4.6273515156493882E-2</v>
      </c>
      <c r="U54" s="2">
        <f t="shared" si="8"/>
        <v>-4.565098468271335E-2</v>
      </c>
      <c r="V54" s="2">
        <f t="shared" si="8"/>
        <v>-4.5289674822486546E-2</v>
      </c>
    </row>
    <row r="55" spans="2:22" x14ac:dyDescent="0.3">
      <c r="B55" t="s">
        <v>31</v>
      </c>
      <c r="E55" s="1">
        <f>'Statements Summary 2024'!V54</f>
        <v>-8250</v>
      </c>
      <c r="F55" s="1">
        <f>'Statements Summary 2025'!V55</f>
        <v>-8250</v>
      </c>
      <c r="G55" s="1">
        <f>'Statements Summary 2026'!V55</f>
        <v>-8250</v>
      </c>
      <c r="H55" s="1">
        <f t="shared" si="1"/>
        <v>-8250</v>
      </c>
      <c r="I55" s="1">
        <f>'Statements Summary 2028'!V55</f>
        <v>-8250</v>
      </c>
      <c r="K55" s="1">
        <f>'IS 2027'!F56</f>
        <v>-8250</v>
      </c>
      <c r="L55" s="1">
        <f>'IS 2027'!G56</f>
        <v>-8250</v>
      </c>
      <c r="M55" s="1">
        <f>'IS 2027'!H56</f>
        <v>-8250</v>
      </c>
      <c r="N55" s="1">
        <f>'IS 2027'!I56</f>
        <v>-8250</v>
      </c>
      <c r="O55" s="1">
        <f>'IS 2027'!J56</f>
        <v>-8250</v>
      </c>
      <c r="P55" s="1">
        <f>'IS 2027'!K56</f>
        <v>-8250</v>
      </c>
      <c r="Q55" s="1">
        <f>'IS 2027'!L56</f>
        <v>-8250</v>
      </c>
      <c r="R55" s="1">
        <f>'IS 2027'!M56</f>
        <v>-8250</v>
      </c>
      <c r="S55" s="1">
        <f>'IS 2027'!N56</f>
        <v>-8250</v>
      </c>
      <c r="T55" s="1">
        <f>'IS 2027'!O56</f>
        <v>-8250</v>
      </c>
      <c r="U55" s="1">
        <f>'IS 2027'!P56</f>
        <v>-8250</v>
      </c>
      <c r="V55" s="1">
        <f>'IS 2027'!Q56</f>
        <v>-8250</v>
      </c>
    </row>
    <row r="56" spans="2:22" x14ac:dyDescent="0.3">
      <c r="B56" t="s">
        <v>29</v>
      </c>
      <c r="E56" s="2">
        <f>'Statements Summary 2024'!V55</f>
        <v>-1.8337408312958436E-2</v>
      </c>
      <c r="F56" s="2">
        <f>'Statements Summary 2025'!V56</f>
        <v>-1.4073245250591471E-2</v>
      </c>
      <c r="G56" s="2">
        <f>'Statements Summary 2026'!V56</f>
        <v>-1.2467697329645918E-2</v>
      </c>
      <c r="H56" s="2">
        <f t="shared" si="1"/>
        <v>-8.291498952256041E-3</v>
      </c>
      <c r="I56" s="2">
        <f>'Statements Summary 2028'!V56</f>
        <v>-7.3772031011079221E-3</v>
      </c>
      <c r="K56" s="2">
        <f>K55/K45</f>
        <v>-9.3412970249384317E-3</v>
      </c>
      <c r="L56" s="2">
        <f t="shared" ref="L56:V56" si="9">L55/L45</f>
        <v>-9.1176844397044769E-3</v>
      </c>
      <c r="M56" s="2">
        <f t="shared" si="9"/>
        <v>-9.0525045262522634E-3</v>
      </c>
      <c r="N56" s="2">
        <f t="shared" si="9"/>
        <v>-8.9919726208057896E-3</v>
      </c>
      <c r="O56" s="2">
        <f t="shared" si="9"/>
        <v>-8.9331153292259054E-3</v>
      </c>
      <c r="P56" s="2">
        <f t="shared" si="9"/>
        <v>-8.874164349523754E-3</v>
      </c>
      <c r="Q56" s="2">
        <f t="shared" si="9"/>
        <v>-8.8124078702813569E-3</v>
      </c>
      <c r="R56" s="2">
        <f t="shared" si="9"/>
        <v>-8.5967946981222523E-3</v>
      </c>
      <c r="S56" s="2">
        <f t="shared" si="9"/>
        <v>-8.5312320650235002E-3</v>
      </c>
      <c r="T56" s="2">
        <f t="shared" si="9"/>
        <v>-8.471617514170705E-3</v>
      </c>
      <c r="U56" s="2">
        <f t="shared" si="9"/>
        <v>-8.3576464867493316E-3</v>
      </c>
      <c r="V56" s="2">
        <f t="shared" si="9"/>
        <v>-8.291498952256041E-3</v>
      </c>
    </row>
    <row r="57" spans="2:22" x14ac:dyDescent="0.3">
      <c r="B57" s="23" t="s">
        <v>10</v>
      </c>
      <c r="C57" s="23"/>
      <c r="D57" s="23"/>
      <c r="E57" s="201">
        <f>'Statements Summary 2024'!V56</f>
        <v>428975</v>
      </c>
      <c r="F57" s="201">
        <f>'Statements Summary 2025'!V57</f>
        <v>565293.73300000001</v>
      </c>
      <c r="G57" s="201">
        <f>'Statements Summary 2026'!V57</f>
        <v>659785</v>
      </c>
      <c r="H57" s="201">
        <f t="shared" si="1"/>
        <v>936722</v>
      </c>
      <c r="I57" s="201">
        <f>'Statements Summary 2028'!V57</f>
        <v>1054137</v>
      </c>
      <c r="K57" s="201">
        <f>'IS 2027'!F57</f>
        <v>813668</v>
      </c>
      <c r="L57" s="201">
        <f>'IS 2027'!G57</f>
        <v>835328</v>
      </c>
      <c r="M57" s="201">
        <f>'IS 2027'!H57</f>
        <v>841843</v>
      </c>
      <c r="N57" s="201">
        <f>'IS 2027'!I57</f>
        <v>847978</v>
      </c>
      <c r="O57" s="201">
        <f>'IS 2027'!J57</f>
        <v>854023</v>
      </c>
      <c r="P57" s="201">
        <f>'IS 2027'!K57</f>
        <v>860158</v>
      </c>
      <c r="Q57" s="201">
        <f>'IS 2027'!L57</f>
        <v>866673</v>
      </c>
      <c r="R57" s="201">
        <f>'IS 2027'!M57</f>
        <v>890153</v>
      </c>
      <c r="S57" s="201">
        <f>'IS 2027'!N57</f>
        <v>897528</v>
      </c>
      <c r="T57" s="201">
        <f>'IS 2027'!O57</f>
        <v>904333</v>
      </c>
      <c r="U57" s="201">
        <f>'IS 2027'!P57</f>
        <v>917613</v>
      </c>
      <c r="V57" s="201">
        <f>'IS 2027'!Q57</f>
        <v>936722</v>
      </c>
    </row>
    <row r="58" spans="2:22" x14ac:dyDescent="0.3">
      <c r="B58" t="s">
        <v>22</v>
      </c>
      <c r="E58" s="2">
        <f>'Statements Summary 2024'!V57</f>
        <v>0.95348966436985994</v>
      </c>
      <c r="F58" s="2">
        <f>'Statements Summary 2025'!V58</f>
        <v>0.96430513250077254</v>
      </c>
      <c r="G58" s="2">
        <f>'Statements Summary 2026'!V58</f>
        <v>0.99709087062308266</v>
      </c>
      <c r="H58" s="2">
        <f t="shared" si="1"/>
        <v>0.9414338765521435</v>
      </c>
      <c r="I58" s="2">
        <f>'Statements Summary 2028'!V58</f>
        <v>0.94261609035061833</v>
      </c>
      <c r="K58" s="2">
        <f>K57/K45</f>
        <v>0.92129872335607321</v>
      </c>
      <c r="L58" s="2">
        <f t="shared" ref="L58:V58" si="10">L57/L45</f>
        <v>0.92318267971508616</v>
      </c>
      <c r="M58" s="2">
        <f t="shared" si="10"/>
        <v>0.92373182641136775</v>
      </c>
      <c r="N58" s="2">
        <f t="shared" si="10"/>
        <v>0.92424181321765475</v>
      </c>
      <c r="O58" s="2">
        <f t="shared" si="10"/>
        <v>0.92473769124987815</v>
      </c>
      <c r="P58" s="2">
        <f t="shared" si="10"/>
        <v>0.92523435861304881</v>
      </c>
      <c r="Q58" s="2">
        <f t="shared" si="10"/>
        <v>0.92575466256489136</v>
      </c>
      <c r="R58" s="2">
        <f t="shared" si="10"/>
        <v>0.92757122314152929</v>
      </c>
      <c r="S58" s="2">
        <f t="shared" si="10"/>
        <v>0.92812359428562563</v>
      </c>
      <c r="T58" s="2">
        <f t="shared" si="10"/>
        <v>0.92862585229606509</v>
      </c>
      <c r="U58" s="2">
        <f t="shared" si="10"/>
        <v>0.92958606856309267</v>
      </c>
      <c r="V58" s="2">
        <f t="shared" si="10"/>
        <v>0.9414338765521435</v>
      </c>
    </row>
    <row r="59" spans="2:22" x14ac:dyDescent="0.3">
      <c r="B59" t="s">
        <v>11</v>
      </c>
      <c r="E59" s="1">
        <f>'Statements Summary 2024'!V58</f>
        <v>-1711</v>
      </c>
      <c r="F59" s="1">
        <f>'Statements Summary 2025'!V59</f>
        <v>-1850</v>
      </c>
      <c r="G59" s="1">
        <f>'Statements Summary 2026'!V59</f>
        <v>-1911</v>
      </c>
      <c r="H59" s="1">
        <f t="shared" si="1"/>
        <v>-1756</v>
      </c>
      <c r="I59" s="1">
        <f>'Statements Summary 2028'!V59</f>
        <v>-1800</v>
      </c>
      <c r="K59">
        <f>'IS 2027'!F58</f>
        <v>-1911</v>
      </c>
      <c r="L59">
        <f>'IS 2027'!G58</f>
        <v>-1911</v>
      </c>
      <c r="M59">
        <f>'IS 2027'!H58</f>
        <v>-1911</v>
      </c>
      <c r="N59">
        <f>'IS 2027'!I58</f>
        <v>-1756</v>
      </c>
      <c r="O59">
        <f>'IS 2027'!J58</f>
        <v>-1756</v>
      </c>
      <c r="P59">
        <f>'IS 2027'!K58</f>
        <v>-1756</v>
      </c>
      <c r="Q59">
        <f>'IS 2027'!L58</f>
        <v>-1756</v>
      </c>
      <c r="R59">
        <f>'IS 2027'!M58</f>
        <v>-1756</v>
      </c>
      <c r="S59">
        <f>'IS 2027'!N58</f>
        <v>-1756</v>
      </c>
      <c r="T59">
        <f>'IS 2027'!O58</f>
        <v>-1756</v>
      </c>
      <c r="U59">
        <f>'IS 2027'!P58</f>
        <v>-1756</v>
      </c>
      <c r="V59">
        <f>'IS 2027'!Q58</f>
        <v>-1756</v>
      </c>
    </row>
    <row r="60" spans="2:22" x14ac:dyDescent="0.3">
      <c r="B60" t="s">
        <v>12</v>
      </c>
      <c r="E60" s="1">
        <f>'Statements Summary 2024'!V59</f>
        <v>427264</v>
      </c>
      <c r="F60" s="1">
        <f>'Statements Summary 2025'!V60</f>
        <v>563443.73300000001</v>
      </c>
      <c r="G60" s="1">
        <f>'Statements Summary 2026'!V60</f>
        <v>661696</v>
      </c>
      <c r="H60" s="1">
        <f t="shared" si="1"/>
        <v>934966</v>
      </c>
      <c r="I60" s="1">
        <f>'Statements Summary 2028'!V60</f>
        <v>1052337</v>
      </c>
      <c r="K60" s="1">
        <f>'IS 2027'!F59</f>
        <v>811757</v>
      </c>
      <c r="L60" s="1">
        <f>'IS 2027'!G59</f>
        <v>833417</v>
      </c>
      <c r="M60" s="1">
        <f>'IS 2027'!H59</f>
        <v>839932</v>
      </c>
      <c r="N60" s="1">
        <f>'IS 2027'!I59</f>
        <v>846222</v>
      </c>
      <c r="O60" s="1">
        <f>'IS 2027'!J59</f>
        <v>852267</v>
      </c>
      <c r="P60" s="1">
        <f>'IS 2027'!K59</f>
        <v>858402</v>
      </c>
      <c r="Q60" s="1">
        <f>'IS 2027'!L59</f>
        <v>864917</v>
      </c>
      <c r="R60" s="1">
        <f>'IS 2027'!M59</f>
        <v>888397</v>
      </c>
      <c r="S60" s="1">
        <f>'IS 2027'!N59</f>
        <v>895772</v>
      </c>
      <c r="T60" s="1">
        <f>'IS 2027'!O59</f>
        <v>902577</v>
      </c>
      <c r="U60" s="1">
        <f>'IS 2027'!P59</f>
        <v>915857</v>
      </c>
      <c r="V60" s="1">
        <f>'IS 2027'!Q59</f>
        <v>934966</v>
      </c>
    </row>
    <row r="61" spans="2:22" x14ac:dyDescent="0.3">
      <c r="B61" t="s">
        <v>13</v>
      </c>
      <c r="E61" s="1">
        <f>'Statements Summary 2024'!V60</f>
        <v>-73000.400000000009</v>
      </c>
      <c r="F61" s="1">
        <f>'Statements Summary 2025'!V61</f>
        <v>-32637.200000000001</v>
      </c>
      <c r="G61" s="1">
        <f>'Statements Summary 2026'!V61</f>
        <v>0</v>
      </c>
      <c r="H61" s="1">
        <f t="shared" si="1"/>
        <v>0</v>
      </c>
      <c r="I61" s="1">
        <f>'Statements Summary 2028'!V61</f>
        <v>0</v>
      </c>
      <c r="K61" s="1">
        <f>'IS 2027'!F60</f>
        <v>0</v>
      </c>
      <c r="L61" s="1">
        <f>'IS 2027'!G60</f>
        <v>0</v>
      </c>
      <c r="M61" s="1">
        <f>'IS 2027'!H60</f>
        <v>0</v>
      </c>
      <c r="N61" s="1">
        <f>'IS 2027'!I60</f>
        <v>0</v>
      </c>
      <c r="O61" s="1">
        <f>'IS 2027'!J60</f>
        <v>0</v>
      </c>
      <c r="P61" s="1">
        <f>'IS 2027'!K60</f>
        <v>0</v>
      </c>
      <c r="Q61" s="1">
        <f>'IS 2027'!L60</f>
        <v>0</v>
      </c>
      <c r="R61" s="1">
        <f>'IS 2027'!M60</f>
        <v>0</v>
      </c>
      <c r="S61" s="1">
        <f>'IS 2027'!N60</f>
        <v>0</v>
      </c>
      <c r="T61" s="1">
        <f>'IS 2027'!O60</f>
        <v>0</v>
      </c>
      <c r="U61" s="1">
        <f>'IS 2027'!P60</f>
        <v>0</v>
      </c>
      <c r="V61" s="1">
        <f>'IS 2027'!Q60</f>
        <v>0</v>
      </c>
    </row>
    <row r="62" spans="2:22" x14ac:dyDescent="0.3">
      <c r="B62" t="s">
        <v>14</v>
      </c>
      <c r="E62" s="1">
        <f>'Statements Summary 2024'!V61</f>
        <v>428975</v>
      </c>
      <c r="F62" s="1">
        <f>'Statements Summary 2025'!V62</f>
        <v>565293.73300000001</v>
      </c>
      <c r="G62" s="1">
        <f>'Statements Summary 2026'!V62</f>
        <v>659785</v>
      </c>
      <c r="H62" s="1">
        <f t="shared" si="1"/>
        <v>936722</v>
      </c>
      <c r="I62" s="1">
        <f>'Statements Summary 2028'!V62</f>
        <v>1054137</v>
      </c>
      <c r="K62" s="1">
        <f>'IS 2027'!F61</f>
        <v>813668</v>
      </c>
      <c r="L62" s="1">
        <f>'IS 2027'!G61</f>
        <v>835328</v>
      </c>
      <c r="M62" s="1">
        <f>'IS 2027'!H61</f>
        <v>841843</v>
      </c>
      <c r="N62" s="1">
        <f>'IS 2027'!I61</f>
        <v>847978</v>
      </c>
      <c r="O62" s="1">
        <f>'IS 2027'!J61</f>
        <v>854023</v>
      </c>
      <c r="P62" s="1">
        <f>'IS 2027'!K61</f>
        <v>860158</v>
      </c>
      <c r="Q62" s="1">
        <f>'IS 2027'!L61</f>
        <v>866673</v>
      </c>
      <c r="R62" s="1">
        <f>'IS 2027'!M61</f>
        <v>890153</v>
      </c>
      <c r="S62" s="1">
        <f>'IS 2027'!N61</f>
        <v>897528</v>
      </c>
      <c r="T62" s="1">
        <f>'IS 2027'!O61</f>
        <v>904333</v>
      </c>
      <c r="U62" s="1">
        <f>'IS 2027'!P61</f>
        <v>917613</v>
      </c>
      <c r="V62" s="1">
        <f>'IS 2027'!Q61</f>
        <v>936722</v>
      </c>
    </row>
    <row r="63" spans="2:22" x14ac:dyDescent="0.3">
      <c r="B63" t="s">
        <v>15</v>
      </c>
      <c r="E63" s="1">
        <f>'Statements Summary 2024'!V62</f>
        <v>-85795</v>
      </c>
      <c r="F63" s="1">
        <f>'Statements Summary 2025'!V63</f>
        <v>-113058.74660000001</v>
      </c>
      <c r="G63" s="1">
        <f>'Statements Summary 2026'!V63</f>
        <v>-131957</v>
      </c>
      <c r="H63" s="1">
        <f t="shared" si="1"/>
        <v>-187344.40000000002</v>
      </c>
      <c r="I63" s="1">
        <f>'Statements Summary 2028'!V63</f>
        <v>-187344.40000000002</v>
      </c>
      <c r="K63" s="1">
        <f>'IS 2027'!F62</f>
        <v>-162733.6</v>
      </c>
      <c r="L63" s="1">
        <f>'IS 2027'!G62</f>
        <v>-167065.60000000001</v>
      </c>
      <c r="M63" s="1">
        <f>'IS 2027'!H62</f>
        <v>-168368.6</v>
      </c>
      <c r="N63" s="1">
        <f>'IS 2027'!I62</f>
        <v>-169595.6</v>
      </c>
      <c r="O63" s="1">
        <f>'IS 2027'!J62</f>
        <v>-170804.6</v>
      </c>
      <c r="P63" s="1">
        <f>'IS 2027'!K62</f>
        <v>-172031.6</v>
      </c>
      <c r="Q63" s="1">
        <f>'IS 2027'!L62</f>
        <v>-173334.6</v>
      </c>
      <c r="R63" s="1">
        <f>'IS 2027'!M62</f>
        <v>-178030.6</v>
      </c>
      <c r="S63" s="1">
        <f>'IS 2027'!N62</f>
        <v>-179505.6</v>
      </c>
      <c r="T63" s="1">
        <f>'IS 2027'!O62</f>
        <v>-180866.6</v>
      </c>
      <c r="U63" s="1">
        <f>'IS 2027'!P62</f>
        <v>-183522.6</v>
      </c>
      <c r="V63" s="1">
        <f>'IS 2027'!Q62</f>
        <v>-187344.40000000002</v>
      </c>
    </row>
    <row r="64" spans="2:22" x14ac:dyDescent="0.3">
      <c r="B64" s="23" t="s">
        <v>16</v>
      </c>
      <c r="C64" s="23"/>
      <c r="D64" s="23"/>
      <c r="E64" s="201">
        <f>'Statements Summary 2024'!V63</f>
        <v>343180</v>
      </c>
      <c r="F64" s="201">
        <f>'Statements Summary 2025'!V64</f>
        <v>452234.98639999999</v>
      </c>
      <c r="G64" s="201">
        <f>'Statements Summary 2026'!V64</f>
        <v>527828</v>
      </c>
      <c r="H64" s="201">
        <f t="shared" si="1"/>
        <v>749377.6</v>
      </c>
      <c r="I64" s="201">
        <f>'Statements Summary 2028'!V64</f>
        <v>843309.6</v>
      </c>
      <c r="K64" s="201">
        <f>'IS 2027'!F63</f>
        <v>650934.4</v>
      </c>
      <c r="L64" s="201">
        <f>'IS 2027'!G63</f>
        <v>668262.40000000002</v>
      </c>
      <c r="M64" s="201">
        <f>'IS 2027'!H63</f>
        <v>673474.4</v>
      </c>
      <c r="N64" s="201">
        <f>'IS 2027'!I63</f>
        <v>678382.4</v>
      </c>
      <c r="O64" s="201">
        <f>'IS 2027'!J63</f>
        <v>683218.4</v>
      </c>
      <c r="P64" s="201">
        <f>'IS 2027'!K63</f>
        <v>688126.4</v>
      </c>
      <c r="Q64" s="201">
        <f>'IS 2027'!L63</f>
        <v>693338.4</v>
      </c>
      <c r="R64" s="201">
        <f>'IS 2027'!M63</f>
        <v>712122.4</v>
      </c>
      <c r="S64" s="201">
        <f>'IS 2027'!N63</f>
        <v>718022.4</v>
      </c>
      <c r="T64" s="201">
        <f>'IS 2027'!O63</f>
        <v>723466.4</v>
      </c>
      <c r="U64" s="201">
        <f>'IS 2027'!P63</f>
        <v>734090.4</v>
      </c>
      <c r="V64" s="201">
        <f>'IS 2027'!Q63</f>
        <v>749377.6</v>
      </c>
    </row>
    <row r="65" spans="2:22" x14ac:dyDescent="0.3">
      <c r="B65" t="s">
        <v>17</v>
      </c>
      <c r="E65" s="2">
        <f>'Statements Summary 2024'!V64</f>
        <v>0.76279173149588797</v>
      </c>
      <c r="F65" s="2">
        <f>'Statements Summary 2025'!V65</f>
        <v>0.77144410600061797</v>
      </c>
      <c r="G65" s="2">
        <f>'Statements Summary 2026'!V65</f>
        <v>0.79767269649846606</v>
      </c>
      <c r="H65" s="2">
        <f t="shared" si="1"/>
        <v>0.7531471012417148</v>
      </c>
      <c r="I65" s="2">
        <f>'Statements Summary 2028'!V65</f>
        <v>0.75409287228049471</v>
      </c>
      <c r="K65" s="2">
        <f>K64/K45</f>
        <v>0.73703897868485868</v>
      </c>
      <c r="L65" s="2">
        <f t="shared" ref="L65:V65" si="11">L64/L45</f>
        <v>0.73854614377206895</v>
      </c>
      <c r="M65" s="2">
        <f t="shared" si="11"/>
        <v>0.73898546112909425</v>
      </c>
      <c r="N65" s="2">
        <f t="shared" si="11"/>
        <v>0.73939345057412387</v>
      </c>
      <c r="O65" s="2">
        <f t="shared" si="11"/>
        <v>0.73979015299990258</v>
      </c>
      <c r="P65" s="2">
        <f t="shared" si="11"/>
        <v>0.74018748689043901</v>
      </c>
      <c r="Q65" s="2">
        <f t="shared" si="11"/>
        <v>0.74060373005191316</v>
      </c>
      <c r="R65" s="2">
        <f t="shared" si="11"/>
        <v>0.7420569785132235</v>
      </c>
      <c r="S65" s="2">
        <f t="shared" si="11"/>
        <v>0.74249887542850057</v>
      </c>
      <c r="T65" s="2">
        <f t="shared" si="11"/>
        <v>0.74290068183685209</v>
      </c>
      <c r="U65" s="2">
        <f t="shared" si="11"/>
        <v>0.74366885485047418</v>
      </c>
      <c r="V65" s="2">
        <f t="shared" si="11"/>
        <v>0.7531471012417148</v>
      </c>
    </row>
    <row r="67" spans="2:22" x14ac:dyDescent="0.3">
      <c r="B67" s="181" t="s">
        <v>331</v>
      </c>
      <c r="C67" s="154"/>
      <c r="D67" s="154"/>
      <c r="E67" s="154"/>
      <c r="F67" s="154"/>
      <c r="G67" s="154"/>
      <c r="H67" s="154"/>
      <c r="I67" s="154"/>
      <c r="K67" s="387" t="s">
        <v>250</v>
      </c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</row>
    <row r="85" spans="2:22" x14ac:dyDescent="0.3">
      <c r="B85" s="181" t="s">
        <v>333</v>
      </c>
      <c r="C85" s="181"/>
      <c r="D85" s="181"/>
      <c r="E85" s="181"/>
      <c r="F85" s="154"/>
      <c r="G85" s="154"/>
      <c r="H85" s="154"/>
      <c r="I85" s="154"/>
      <c r="J85" s="154"/>
      <c r="K85" s="387" t="s">
        <v>258</v>
      </c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</row>
    <row r="87" spans="2:22" x14ac:dyDescent="0.3">
      <c r="B87" s="199" t="s">
        <v>27</v>
      </c>
      <c r="C87" s="199"/>
      <c r="D87" s="199"/>
      <c r="E87" s="200">
        <v>2024</v>
      </c>
      <c r="F87" s="200">
        <v>2025</v>
      </c>
      <c r="G87" s="200">
        <v>2026</v>
      </c>
      <c r="H87" s="200">
        <v>2027</v>
      </c>
      <c r="I87" s="200">
        <v>2028</v>
      </c>
      <c r="J87" s="199"/>
      <c r="K87" s="200" t="s">
        <v>32</v>
      </c>
      <c r="L87" s="200" t="s">
        <v>33</v>
      </c>
      <c r="M87" s="200" t="s">
        <v>34</v>
      </c>
      <c r="N87" s="200" t="s">
        <v>35</v>
      </c>
      <c r="O87" s="200" t="s">
        <v>36</v>
      </c>
      <c r="P87" s="200" t="s">
        <v>37</v>
      </c>
      <c r="Q87" s="200" t="s">
        <v>38</v>
      </c>
      <c r="R87" s="200" t="s">
        <v>39</v>
      </c>
      <c r="S87" s="200" t="s">
        <v>40</v>
      </c>
      <c r="T87" s="200" t="s">
        <v>41</v>
      </c>
      <c r="U87" s="200" t="s">
        <v>42</v>
      </c>
      <c r="V87" s="200" t="s">
        <v>43</v>
      </c>
    </row>
    <row r="88" spans="2:22" x14ac:dyDescent="0.3">
      <c r="B88" t="s">
        <v>55</v>
      </c>
      <c r="E88" s="211">
        <f>'Statements Summary 2024'!V86</f>
        <v>2624392.4</v>
      </c>
      <c r="F88" s="211">
        <f>'Statements Summary 2025'!V88</f>
        <v>7339792.1871999996</v>
      </c>
      <c r="G88" s="211">
        <f>'Statements Summary 2026'!V88</f>
        <v>13149988.987199999</v>
      </c>
      <c r="H88" s="211">
        <f t="shared" ref="H88:H99" si="12">V88</f>
        <v>22338154.987199992</v>
      </c>
      <c r="I88" s="211">
        <f>'Statements Summary 2028'!V88</f>
        <v>32696764.987199977</v>
      </c>
      <c r="K88" s="211">
        <f>'BS 2027'!F14</f>
        <v>13869805.3872</v>
      </c>
      <c r="L88" s="211">
        <f>'BS 2027'!G14</f>
        <v>14606949.7872</v>
      </c>
      <c r="M88" s="211">
        <f>'BS 2027'!H14</f>
        <v>15349306.187200001</v>
      </c>
      <c r="N88" s="211">
        <f>'BS 2027'!I14</f>
        <v>16096570.587200001</v>
      </c>
      <c r="O88" s="211">
        <f>'BS 2027'!J14</f>
        <v>16848670.987199999</v>
      </c>
      <c r="P88" s="211">
        <f>'BS 2027'!K14</f>
        <v>17605679.387199998</v>
      </c>
      <c r="Q88" s="211">
        <f>'BS 2027'!L14</f>
        <v>18367899.787199996</v>
      </c>
      <c r="R88" s="211">
        <f>'BS 2027'!M14</f>
        <v>19148904.187199995</v>
      </c>
      <c r="S88" s="211">
        <f>'BS 2027'!N14</f>
        <v>19935808.587199993</v>
      </c>
      <c r="T88" s="211">
        <f>'BS 2027'!O14</f>
        <v>20728156.987199992</v>
      </c>
      <c r="U88" s="211">
        <f>'BS 2027'!P14</f>
        <v>21531129.38719999</v>
      </c>
      <c r="V88" s="211">
        <f>'BS 2027'!Q14</f>
        <v>22338154.987199992</v>
      </c>
    </row>
    <row r="89" spans="2:22" x14ac:dyDescent="0.3">
      <c r="B89" t="s">
        <v>56</v>
      </c>
      <c r="E89" s="211">
        <f>'Statements Summary 2024'!V87</f>
        <v>470532</v>
      </c>
      <c r="F89" s="211">
        <f>'Statements Summary 2025'!V89</f>
        <v>488332</v>
      </c>
      <c r="G89" s="211">
        <f>'Statements Summary 2026'!V89</f>
        <v>509481</v>
      </c>
      <c r="H89" s="211">
        <f t="shared" si="12"/>
        <v>531018</v>
      </c>
      <c r="I89" s="211">
        <f>'Statements Summary 2028'!V89</f>
        <v>552400</v>
      </c>
      <c r="K89" s="211">
        <f>'BS 2027'!F19</f>
        <v>511392</v>
      </c>
      <c r="L89" s="211">
        <f>'BS 2027'!G19</f>
        <v>513303</v>
      </c>
      <c r="M89" s="211">
        <f>'BS 2027'!H19</f>
        <v>515214</v>
      </c>
      <c r="N89" s="211">
        <f>'BS 2027'!I19</f>
        <v>516970</v>
      </c>
      <c r="O89" s="211">
        <f>'BS 2027'!J19</f>
        <v>518726</v>
      </c>
      <c r="P89" s="211">
        <f>'BS 2027'!K19</f>
        <v>520482</v>
      </c>
      <c r="Q89" s="211">
        <f>'BS 2027'!L19</f>
        <v>522238</v>
      </c>
      <c r="R89" s="211">
        <f>'BS 2027'!M19</f>
        <v>523994</v>
      </c>
      <c r="S89" s="211">
        <f>'BS 2027'!N19</f>
        <v>525750</v>
      </c>
      <c r="T89" s="211">
        <f>'BS 2027'!O19</f>
        <v>527506</v>
      </c>
      <c r="U89" s="211">
        <f>'BS 2027'!P19</f>
        <v>529262</v>
      </c>
      <c r="V89" s="211">
        <f>'BS 2027'!Q19</f>
        <v>531018</v>
      </c>
    </row>
    <row r="90" spans="2:22" x14ac:dyDescent="0.3">
      <c r="B90" t="s">
        <v>57</v>
      </c>
      <c r="E90" s="211">
        <f>'Statements Summary 2024'!V88</f>
        <v>3094924.4</v>
      </c>
      <c r="F90" s="211">
        <f>'Statements Summary 2025'!V90</f>
        <v>7828124.1871999996</v>
      </c>
      <c r="G90" s="211">
        <f>'Statements Summary 2026'!V90</f>
        <v>13659469.987199999</v>
      </c>
      <c r="H90" s="211">
        <f t="shared" si="12"/>
        <v>22869172.987199992</v>
      </c>
      <c r="I90" s="211">
        <f>'Statements Summary 2028'!V90</f>
        <v>33249164.987199977</v>
      </c>
      <c r="K90" s="211">
        <f>'BS 2027'!F20</f>
        <v>14381197.3872</v>
      </c>
      <c r="L90" s="211">
        <f>'BS 2027'!G20</f>
        <v>15120252.7872</v>
      </c>
      <c r="M90" s="211">
        <f>'BS 2027'!H20</f>
        <v>15864520.187200001</v>
      </c>
      <c r="N90" s="211">
        <f>'BS 2027'!I20</f>
        <v>16613540.587200001</v>
      </c>
      <c r="O90" s="211">
        <f>'BS 2027'!J20</f>
        <v>17367396.987199999</v>
      </c>
      <c r="P90" s="211">
        <f>'BS 2027'!K20</f>
        <v>18126161.387199998</v>
      </c>
      <c r="Q90" s="211">
        <f>'BS 2027'!L20</f>
        <v>18890137.787199996</v>
      </c>
      <c r="R90" s="211">
        <f>'BS 2027'!M20</f>
        <v>19672898.187199995</v>
      </c>
      <c r="S90" s="211">
        <f>'BS 2027'!N20</f>
        <v>20461558.587199993</v>
      </c>
      <c r="T90" s="211">
        <f>'BS 2027'!O20</f>
        <v>21255662.987199992</v>
      </c>
      <c r="U90" s="211">
        <f>'BS 2027'!P20</f>
        <v>22060391.38719999</v>
      </c>
      <c r="V90" s="211">
        <f>'BS 2027'!Q20</f>
        <v>22869172.987199992</v>
      </c>
    </row>
    <row r="91" spans="2:22" x14ac:dyDescent="0.3">
      <c r="B91" t="s">
        <v>58</v>
      </c>
      <c r="E91" s="211">
        <f>'Statements Summary 2024'!V89</f>
        <v>-85795</v>
      </c>
      <c r="F91" s="211">
        <f>'Statements Summary 2025'!V91</f>
        <v>-113058.74660000001</v>
      </c>
      <c r="G91" s="211">
        <f>'Statements Summary 2026'!V91</f>
        <v>-131957</v>
      </c>
      <c r="H91" s="211">
        <f t="shared" si="12"/>
        <v>-187344.40000000002</v>
      </c>
      <c r="I91" s="211">
        <f>'Statements Summary 2028'!V91</f>
        <v>-210827.40000000002</v>
      </c>
      <c r="K91" s="211">
        <f>'BS 2027'!F25</f>
        <v>-162733.6</v>
      </c>
      <c r="L91" s="211">
        <f>'BS 2027'!G25</f>
        <v>-167065.60000000001</v>
      </c>
      <c r="M91" s="211">
        <f>'BS 2027'!H25</f>
        <v>-168368.6</v>
      </c>
      <c r="N91" s="211">
        <f>'BS 2027'!I25</f>
        <v>-169595.6</v>
      </c>
      <c r="O91" s="211">
        <f>'BS 2027'!J25</f>
        <v>-170804.6</v>
      </c>
      <c r="P91" s="211">
        <f>'BS 2027'!K25</f>
        <v>-172031.6</v>
      </c>
      <c r="Q91" s="211">
        <f>'BS 2027'!L25</f>
        <v>-173334.6</v>
      </c>
      <c r="R91" s="211">
        <f>'BS 2027'!M25</f>
        <v>-178030.6</v>
      </c>
      <c r="S91" s="211">
        <f>'BS 2027'!N25</f>
        <v>-179505.6</v>
      </c>
      <c r="T91" s="211">
        <f>'BS 2027'!O25</f>
        <v>-180866.6</v>
      </c>
      <c r="U91" s="211">
        <f>'BS 2027'!P25</f>
        <v>-183522.6</v>
      </c>
      <c r="V91" s="211">
        <f>'BS 2027'!Q25</f>
        <v>-187344.40000000002</v>
      </c>
    </row>
    <row r="92" spans="2:22" x14ac:dyDescent="0.3">
      <c r="B92" t="s">
        <v>201</v>
      </c>
      <c r="E92" s="211">
        <f>'Statements Summary 2024'!V90</f>
        <v>-365002</v>
      </c>
      <c r="F92" s="211">
        <f>'Statements Summary 2025'!V92</f>
        <v>-163186</v>
      </c>
      <c r="G92" s="211">
        <f>'Statements Summary 2026'!V92</f>
        <v>0</v>
      </c>
      <c r="H92" s="211">
        <f t="shared" si="12"/>
        <v>0</v>
      </c>
      <c r="I92" s="211">
        <f>'Statements Summary 2028'!V92</f>
        <v>0</v>
      </c>
      <c r="K92" s="211">
        <f>'BS 2027'!F27</f>
        <v>0</v>
      </c>
      <c r="L92" s="211">
        <f>'BS 2027'!G27</f>
        <v>0</v>
      </c>
      <c r="M92" s="211">
        <f>'BS 2027'!H27</f>
        <v>0</v>
      </c>
      <c r="N92" s="211">
        <f>'BS 2027'!I27</f>
        <v>0</v>
      </c>
      <c r="O92" s="211">
        <f>'BS 2027'!J27</f>
        <v>0</v>
      </c>
      <c r="P92" s="211">
        <f>'BS 2027'!K27</f>
        <v>0</v>
      </c>
      <c r="Q92" s="211">
        <f>'BS 2027'!L27</f>
        <v>0</v>
      </c>
      <c r="R92" s="211">
        <f>'BS 2027'!M27</f>
        <v>0</v>
      </c>
      <c r="S92" s="211">
        <f>'BS 2027'!N27</f>
        <v>0</v>
      </c>
      <c r="T92" s="211">
        <f>'BS 2027'!O27</f>
        <v>0</v>
      </c>
      <c r="U92" s="211">
        <f>'BS 2027'!P27</f>
        <v>0</v>
      </c>
      <c r="V92" s="211">
        <f>'BS 2027'!Q27</f>
        <v>0</v>
      </c>
    </row>
    <row r="93" spans="2:22" x14ac:dyDescent="0.3">
      <c r="B93" t="s">
        <v>60</v>
      </c>
      <c r="E93" s="211">
        <f>'Statements Summary 2024'!V91</f>
        <v>-450797</v>
      </c>
      <c r="F93" s="211">
        <f>'Statements Summary 2025'!V93</f>
        <v>-276244.74660000001</v>
      </c>
      <c r="G93" s="211">
        <f>'Statements Summary 2026'!V93</f>
        <v>-131957</v>
      </c>
      <c r="H93" s="211">
        <f t="shared" si="12"/>
        <v>-187344.40000000002</v>
      </c>
      <c r="I93" s="211">
        <f>'Statements Summary 2028'!V93</f>
        <v>-210827.40000000002</v>
      </c>
      <c r="K93" s="211">
        <f>'BS 2027'!F32</f>
        <v>-162733.6</v>
      </c>
      <c r="L93" s="211">
        <f>'BS 2027'!G32</f>
        <v>-167065.60000000001</v>
      </c>
      <c r="M93" s="211">
        <f>'BS 2027'!H32</f>
        <v>-168368.6</v>
      </c>
      <c r="N93" s="211">
        <f>'BS 2027'!I32</f>
        <v>-169595.6</v>
      </c>
      <c r="O93" s="211">
        <f>'BS 2027'!J32</f>
        <v>-170804.6</v>
      </c>
      <c r="P93" s="211">
        <f>'BS 2027'!K32</f>
        <v>-172031.6</v>
      </c>
      <c r="Q93" s="211">
        <f>'BS 2027'!L32</f>
        <v>-173334.6</v>
      </c>
      <c r="R93" s="211">
        <f>'BS 2027'!M32</f>
        <v>-178030.6</v>
      </c>
      <c r="S93" s="211">
        <f>'BS 2027'!N32</f>
        <v>-179505.6</v>
      </c>
      <c r="T93" s="211">
        <f>'BS 2027'!O32</f>
        <v>-180866.6</v>
      </c>
      <c r="U93" s="211">
        <f>'BS 2027'!P32</f>
        <v>-183522.6</v>
      </c>
      <c r="V93" s="211">
        <f>'BS 2027'!Q32</f>
        <v>-187344.40000000002</v>
      </c>
    </row>
    <row r="94" spans="2:22" x14ac:dyDescent="0.3">
      <c r="B94" t="s">
        <v>61</v>
      </c>
      <c r="E94" s="211">
        <f>'Statements Summary 2024'!V92</f>
        <v>2644127.4</v>
      </c>
      <c r="F94" s="211">
        <f>'Statements Summary 2025'!V94</f>
        <v>7551879.4405999994</v>
      </c>
      <c r="G94" s="211">
        <f>'Statements Summary 2026'!V94</f>
        <v>13527512.987199999</v>
      </c>
      <c r="H94" s="211">
        <f t="shared" si="12"/>
        <v>22681828.587199993</v>
      </c>
      <c r="I94" s="211">
        <f>'Statements Summary 2028'!V94</f>
        <v>33038337.587199979</v>
      </c>
      <c r="K94" s="211">
        <f>'BS 2027'!F33</f>
        <v>14218463.7872</v>
      </c>
      <c r="L94" s="211">
        <f>'BS 2027'!G33</f>
        <v>14953187.187200001</v>
      </c>
      <c r="M94" s="211">
        <f>'BS 2027'!H33</f>
        <v>15696151.587200001</v>
      </c>
      <c r="N94" s="211">
        <f>'BS 2027'!I33</f>
        <v>16443944.987200001</v>
      </c>
      <c r="O94" s="211">
        <f>'BS 2027'!J33</f>
        <v>17196592.387199998</v>
      </c>
      <c r="P94" s="211">
        <f>'BS 2027'!K33</f>
        <v>17954129.787199996</v>
      </c>
      <c r="Q94" s="211">
        <f>'BS 2027'!L33</f>
        <v>18716803.187199995</v>
      </c>
      <c r="R94" s="211">
        <f>'BS 2027'!M33</f>
        <v>19494867.587199993</v>
      </c>
      <c r="S94" s="211">
        <f>'BS 2027'!N33</f>
        <v>20282052.987199992</v>
      </c>
      <c r="T94" s="211">
        <f>'BS 2027'!O33</f>
        <v>21074796.38719999</v>
      </c>
      <c r="U94" s="211">
        <f>'BS 2027'!P33</f>
        <v>21876868.787199989</v>
      </c>
      <c r="V94" s="211">
        <f>'BS 2027'!Q33</f>
        <v>22681828.587199993</v>
      </c>
    </row>
    <row r="95" spans="2:22" x14ac:dyDescent="0.3">
      <c r="B95" t="s">
        <v>62</v>
      </c>
      <c r="E95" s="211">
        <f>'Statements Summary 2024'!V93</f>
        <v>2624392.4</v>
      </c>
      <c r="F95" s="211">
        <f>'Statements Summary 2025'!V95</f>
        <v>7339792.1871999996</v>
      </c>
      <c r="G95" s="211">
        <f>'Statements Summary 2026'!V95</f>
        <v>13149988.987199999</v>
      </c>
      <c r="H95" s="211">
        <f t="shared" si="12"/>
        <v>22338154.987199992</v>
      </c>
      <c r="I95" s="211">
        <f>'Statements Summary 2028'!V95</f>
        <v>32696764.987199977</v>
      </c>
      <c r="K95" s="211">
        <f>'BS 2027'!F14</f>
        <v>13869805.3872</v>
      </c>
      <c r="L95" s="211">
        <f>'BS 2027'!G14</f>
        <v>14606949.7872</v>
      </c>
      <c r="M95" s="211">
        <f>'BS 2027'!H14</f>
        <v>15349306.187200001</v>
      </c>
      <c r="N95" s="211">
        <f>'BS 2027'!I14</f>
        <v>16096570.587200001</v>
      </c>
      <c r="O95" s="211">
        <f>'BS 2027'!J14</f>
        <v>16848670.987199999</v>
      </c>
      <c r="P95" s="211">
        <f>'BS 2027'!K14</f>
        <v>17605679.387199998</v>
      </c>
      <c r="Q95" s="211">
        <f>'BS 2027'!L14</f>
        <v>18367899.787199996</v>
      </c>
      <c r="R95" s="211">
        <f>'BS 2027'!M14</f>
        <v>19148904.187199995</v>
      </c>
      <c r="S95" s="211">
        <f>'BS 2027'!N14</f>
        <v>19935808.587199993</v>
      </c>
      <c r="T95" s="211">
        <f>'BS 2027'!O14</f>
        <v>20728156.987199992</v>
      </c>
      <c r="U95" s="211">
        <f>'BS 2027'!P14</f>
        <v>21531129.38719999</v>
      </c>
      <c r="V95" s="211">
        <f>'BS 2027'!Q14</f>
        <v>22338154.987199992</v>
      </c>
    </row>
    <row r="96" spans="2:22" x14ac:dyDescent="0.3">
      <c r="B96" t="s">
        <v>63</v>
      </c>
      <c r="E96" s="211" t="str">
        <f>'Statements Summary 2024'!V94</f>
        <v>-</v>
      </c>
      <c r="F96" s="211" t="str">
        <f>'Statements Summary 2025'!V96</f>
        <v>-</v>
      </c>
      <c r="G96" s="211" t="str">
        <f>'Statements Summary 2026'!V96</f>
        <v>-</v>
      </c>
      <c r="H96" s="211" t="str">
        <f t="shared" si="12"/>
        <v>-</v>
      </c>
      <c r="I96" s="211" t="str">
        <f>'Statements Summary 2028'!V96</f>
        <v>-</v>
      </c>
      <c r="K96" s="211" t="s">
        <v>195</v>
      </c>
      <c r="L96" s="211" t="s">
        <v>195</v>
      </c>
      <c r="M96" s="211" t="s">
        <v>195</v>
      </c>
      <c r="N96" s="211" t="s">
        <v>195</v>
      </c>
      <c r="O96" s="211" t="s">
        <v>195</v>
      </c>
      <c r="P96" s="211" t="s">
        <v>195</v>
      </c>
      <c r="Q96" s="211" t="s">
        <v>195</v>
      </c>
      <c r="R96" s="211" t="s">
        <v>195</v>
      </c>
      <c r="S96" s="211" t="s">
        <v>195</v>
      </c>
      <c r="T96" s="211" t="s">
        <v>195</v>
      </c>
      <c r="U96" s="211" t="s">
        <v>195</v>
      </c>
      <c r="V96" s="211" t="s">
        <v>195</v>
      </c>
    </row>
    <row r="97" spans="2:22" x14ac:dyDescent="0.3">
      <c r="B97" t="s">
        <v>64</v>
      </c>
      <c r="E97" s="211">
        <f>'Statements Summary 2024'!V95</f>
        <v>0</v>
      </c>
      <c r="F97" s="211">
        <f>'Statements Summary 2025'!V97</f>
        <v>0</v>
      </c>
      <c r="G97" s="211">
        <f>'Statements Summary 2026'!V97</f>
        <v>0</v>
      </c>
      <c r="H97" s="211">
        <f t="shared" si="12"/>
        <v>0</v>
      </c>
      <c r="I97" s="211">
        <f>'Statements Summary 2028'!V97</f>
        <v>0</v>
      </c>
      <c r="K97" s="211" t="s">
        <v>195</v>
      </c>
      <c r="L97" s="211" t="s">
        <v>195</v>
      </c>
      <c r="M97" s="211" t="s">
        <v>195</v>
      </c>
      <c r="N97" s="211" t="s">
        <v>195</v>
      </c>
      <c r="O97" s="211" t="s">
        <v>195</v>
      </c>
      <c r="P97" s="211" t="s">
        <v>195</v>
      </c>
      <c r="Q97" s="211" t="s">
        <v>195</v>
      </c>
      <c r="R97" s="211" t="s">
        <v>195</v>
      </c>
      <c r="S97" s="211" t="s">
        <v>195</v>
      </c>
      <c r="T97" s="211" t="s">
        <v>195</v>
      </c>
      <c r="U97" s="211" t="s">
        <v>195</v>
      </c>
      <c r="V97" s="211"/>
    </row>
    <row r="98" spans="2:22" x14ac:dyDescent="0.3">
      <c r="B98" t="s">
        <v>65</v>
      </c>
      <c r="E98" s="211">
        <f>'Statements Summary 2024'!V96</f>
        <v>2644127.4</v>
      </c>
      <c r="F98" s="211">
        <f>'Statements Summary 2025'!V98</f>
        <v>7551879.4405999994</v>
      </c>
      <c r="G98" s="211">
        <f>'Statements Summary 2026'!V98</f>
        <v>13527512.987199999</v>
      </c>
      <c r="H98" s="211">
        <f t="shared" si="12"/>
        <v>22681828.587199993</v>
      </c>
      <c r="I98" s="211">
        <f>'Statements Summary 2028'!V98</f>
        <v>33038337.587199979</v>
      </c>
      <c r="K98" s="211">
        <f>K94</f>
        <v>14218463.7872</v>
      </c>
      <c r="L98" s="211">
        <f t="shared" ref="L98:V98" si="13">L94</f>
        <v>14953187.187200001</v>
      </c>
      <c r="M98" s="211">
        <f t="shared" si="13"/>
        <v>15696151.587200001</v>
      </c>
      <c r="N98" s="211">
        <f t="shared" si="13"/>
        <v>16443944.987200001</v>
      </c>
      <c r="O98" s="211">
        <f t="shared" si="13"/>
        <v>17196592.387199998</v>
      </c>
      <c r="P98" s="211">
        <f t="shared" si="13"/>
        <v>17954129.787199996</v>
      </c>
      <c r="Q98" s="211">
        <f t="shared" si="13"/>
        <v>18716803.187199995</v>
      </c>
      <c r="R98" s="211">
        <f t="shared" si="13"/>
        <v>19494867.587199993</v>
      </c>
      <c r="S98" s="211">
        <f t="shared" si="13"/>
        <v>20282052.987199992</v>
      </c>
      <c r="T98" s="211">
        <f t="shared" si="13"/>
        <v>21074796.38719999</v>
      </c>
      <c r="U98" s="211">
        <f t="shared" si="13"/>
        <v>21876868.787199989</v>
      </c>
      <c r="V98" s="211">
        <f t="shared" si="13"/>
        <v>22681828.587199993</v>
      </c>
    </row>
    <row r="99" spans="2:22" x14ac:dyDescent="0.3">
      <c r="B99" t="s">
        <v>66</v>
      </c>
      <c r="E99" s="211">
        <f>'Statements Summary 2024'!V97</f>
        <v>2644127.4</v>
      </c>
      <c r="F99" s="211">
        <f>'Statements Summary 2025'!V99</f>
        <v>7551879.4405999994</v>
      </c>
      <c r="G99" s="211">
        <f>'Statements Summary 2026'!V99</f>
        <v>13527512.987199999</v>
      </c>
      <c r="H99" s="211">
        <f t="shared" si="12"/>
        <v>22681828.587199993</v>
      </c>
      <c r="I99" s="211">
        <f>'Statements Summary 2028'!V99</f>
        <v>33038337.587199979</v>
      </c>
      <c r="K99" s="211">
        <f>K98</f>
        <v>14218463.7872</v>
      </c>
      <c r="L99" s="211">
        <f t="shared" ref="L99:V99" si="14">L98</f>
        <v>14953187.187200001</v>
      </c>
      <c r="M99" s="211">
        <f t="shared" si="14"/>
        <v>15696151.587200001</v>
      </c>
      <c r="N99" s="211">
        <f t="shared" si="14"/>
        <v>16443944.987200001</v>
      </c>
      <c r="O99" s="211">
        <f t="shared" si="14"/>
        <v>17196592.387199998</v>
      </c>
      <c r="P99" s="211">
        <f t="shared" si="14"/>
        <v>17954129.787199996</v>
      </c>
      <c r="Q99" s="211">
        <f t="shared" si="14"/>
        <v>18716803.187199995</v>
      </c>
      <c r="R99" s="211">
        <f t="shared" si="14"/>
        <v>19494867.587199993</v>
      </c>
      <c r="S99" s="211">
        <f t="shared" si="14"/>
        <v>20282052.987199992</v>
      </c>
      <c r="T99" s="211">
        <f t="shared" si="14"/>
        <v>21074796.38719999</v>
      </c>
      <c r="U99" s="211">
        <f t="shared" si="14"/>
        <v>21876868.787199989</v>
      </c>
      <c r="V99" s="211">
        <f t="shared" si="14"/>
        <v>22681828.587199993</v>
      </c>
    </row>
    <row r="101" spans="2:22" x14ac:dyDescent="0.3">
      <c r="B101" s="181" t="s">
        <v>333</v>
      </c>
      <c r="C101" s="181"/>
      <c r="D101" s="181"/>
      <c r="E101" s="181"/>
      <c r="F101" s="154"/>
      <c r="G101" s="154"/>
      <c r="H101" s="154"/>
      <c r="I101" s="154"/>
      <c r="K101" s="387" t="s">
        <v>256</v>
      </c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387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8264-76AB-45B4-8F19-3CB15CADE6EC}">
  <dimension ref="B2:W63"/>
  <sheetViews>
    <sheetView showGridLines="0" zoomScale="95" zoomScaleNormal="95" workbookViewId="0">
      <selection activeCell="E54" sqref="E54"/>
    </sheetView>
  </sheetViews>
  <sheetFormatPr defaultRowHeight="14.4" x14ac:dyDescent="0.3"/>
  <cols>
    <col min="1" max="1" width="1.77734375" customWidth="1"/>
    <col min="2" max="2" width="24.5546875" customWidth="1"/>
    <col min="3" max="3" width="5.33203125" customWidth="1"/>
    <col min="4" max="4" width="6" customWidth="1"/>
    <col min="5" max="5" width="10.77734375" customWidth="1"/>
    <col min="6" max="6" width="9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336</v>
      </c>
      <c r="C2" s="8"/>
      <c r="P2" s="345"/>
    </row>
    <row r="3" spans="2:23" ht="13.8" customHeight="1" x14ac:dyDescent="0.35">
      <c r="B3" s="8"/>
      <c r="C3" s="8"/>
    </row>
    <row r="4" spans="2:23" s="13" customFormat="1" ht="15" customHeight="1" x14ac:dyDescent="0.3">
      <c r="B4" s="149"/>
      <c r="C4" s="149"/>
      <c r="D4" s="149"/>
      <c r="E4" s="149"/>
      <c r="F4" s="216">
        <v>2028</v>
      </c>
      <c r="G4" s="216">
        <v>2028</v>
      </c>
      <c r="H4" s="216">
        <v>2028</v>
      </c>
      <c r="I4" s="216">
        <v>2028</v>
      </c>
      <c r="J4" s="216">
        <v>2028</v>
      </c>
      <c r="K4" s="216">
        <v>2028</v>
      </c>
      <c r="L4" s="216">
        <v>2028</v>
      </c>
      <c r="M4" s="216">
        <v>2028</v>
      </c>
      <c r="N4" s="216">
        <v>2028</v>
      </c>
      <c r="O4" s="216">
        <v>2028</v>
      </c>
      <c r="P4" s="216">
        <v>2028</v>
      </c>
      <c r="Q4" s="216">
        <v>2028</v>
      </c>
      <c r="R4" s="216"/>
      <c r="S4" s="216"/>
      <c r="T4" s="216"/>
      <c r="U4" s="154"/>
      <c r="V4" s="154"/>
      <c r="W4" s="149"/>
    </row>
    <row r="5" spans="2:23" ht="15" customHeight="1" x14ac:dyDescent="0.3">
      <c r="B5" s="324" t="s">
        <v>0</v>
      </c>
      <c r="C5" s="166"/>
      <c r="D5" s="166"/>
      <c r="E5" s="166"/>
      <c r="F5" s="325" t="s">
        <v>32</v>
      </c>
      <c r="G5" s="325" t="s">
        <v>33</v>
      </c>
      <c r="H5" s="325" t="s">
        <v>34</v>
      </c>
      <c r="I5" s="325" t="s">
        <v>35</v>
      </c>
      <c r="J5" s="325" t="s">
        <v>36</v>
      </c>
      <c r="K5" s="325" t="s">
        <v>37</v>
      </c>
      <c r="L5" s="325" t="s">
        <v>38</v>
      </c>
      <c r="M5" s="325" t="s">
        <v>39</v>
      </c>
      <c r="N5" s="325" t="s">
        <v>40</v>
      </c>
      <c r="O5" s="325" t="s">
        <v>41</v>
      </c>
      <c r="P5" s="325" t="s">
        <v>42</v>
      </c>
      <c r="Q5" s="325" t="s">
        <v>43</v>
      </c>
      <c r="R5" s="166"/>
      <c r="S5" s="166"/>
      <c r="T5" s="166"/>
      <c r="U5" s="166"/>
      <c r="V5" s="166"/>
      <c r="W5" s="166"/>
    </row>
    <row r="6" spans="2:23" ht="15" customHeight="1" x14ac:dyDescent="0.3">
      <c r="B6" s="25"/>
      <c r="C6" s="329"/>
      <c r="D6" s="329"/>
      <c r="E6" s="329"/>
      <c r="F6" s="384" t="s">
        <v>243</v>
      </c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29"/>
      <c r="S6" s="329"/>
      <c r="T6" s="329"/>
      <c r="U6" s="329"/>
      <c r="V6" s="329"/>
    </row>
    <row r="7" spans="2:23" ht="14.4" customHeight="1" x14ac:dyDescent="0.3">
      <c r="B7" s="4" t="s">
        <v>242</v>
      </c>
      <c r="F7" s="220">
        <v>10300</v>
      </c>
      <c r="G7" s="220">
        <v>10400</v>
      </c>
      <c r="H7" s="220">
        <v>10500</v>
      </c>
      <c r="I7" s="220">
        <v>10600</v>
      </c>
      <c r="J7" s="220">
        <v>10700</v>
      </c>
      <c r="K7" s="220">
        <v>10800</v>
      </c>
      <c r="L7" s="220">
        <v>10900</v>
      </c>
      <c r="M7" s="220">
        <v>11000</v>
      </c>
      <c r="N7" s="220">
        <v>11100</v>
      </c>
      <c r="O7" s="220">
        <v>11200</v>
      </c>
      <c r="P7" s="220">
        <v>11300</v>
      </c>
      <c r="Q7" s="220">
        <v>11400</v>
      </c>
    </row>
    <row r="8" spans="2:23" x14ac:dyDescent="0.3">
      <c r="B8" s="4" t="s">
        <v>227</v>
      </c>
      <c r="F8" s="328">
        <v>3.5</v>
      </c>
      <c r="G8" s="328">
        <v>3.5</v>
      </c>
      <c r="H8" s="328">
        <v>3.5</v>
      </c>
      <c r="I8" s="328">
        <v>3.5</v>
      </c>
      <c r="J8" s="328">
        <v>3.5</v>
      </c>
      <c r="K8" s="328">
        <v>3.5</v>
      </c>
      <c r="L8" s="328">
        <v>3.5</v>
      </c>
      <c r="M8" s="328">
        <v>3.5</v>
      </c>
      <c r="N8" s="328">
        <v>3.5</v>
      </c>
      <c r="O8" s="328">
        <v>3.5</v>
      </c>
      <c r="P8" s="328">
        <v>3.5</v>
      </c>
      <c r="Q8" s="328">
        <v>3.5</v>
      </c>
    </row>
    <row r="9" spans="2:23" x14ac:dyDescent="0.3">
      <c r="B9" s="4" t="s">
        <v>230</v>
      </c>
      <c r="F9" s="318">
        <f t="shared" ref="F9:Q9" si="0">F7/F8</f>
        <v>2942.8571428571427</v>
      </c>
      <c r="G9" s="318">
        <f t="shared" si="0"/>
        <v>2971.4285714285716</v>
      </c>
      <c r="H9" s="318">
        <f t="shared" si="0"/>
        <v>3000</v>
      </c>
      <c r="I9" s="318">
        <f t="shared" si="0"/>
        <v>3028.5714285714284</v>
      </c>
      <c r="J9" s="318">
        <f t="shared" si="0"/>
        <v>3057.1428571428573</v>
      </c>
      <c r="K9" s="318">
        <f t="shared" si="0"/>
        <v>3085.7142857142858</v>
      </c>
      <c r="L9" s="318">
        <f t="shared" si="0"/>
        <v>3114.2857142857142</v>
      </c>
      <c r="M9" s="318">
        <f t="shared" si="0"/>
        <v>3142.8571428571427</v>
      </c>
      <c r="N9" s="318">
        <f t="shared" si="0"/>
        <v>3171.4285714285716</v>
      </c>
      <c r="O9" s="318">
        <f t="shared" si="0"/>
        <v>3200</v>
      </c>
      <c r="P9" s="318">
        <f t="shared" si="0"/>
        <v>3228.5714285714284</v>
      </c>
      <c r="Q9" s="318">
        <f t="shared" si="0"/>
        <v>3257.1428571428573</v>
      </c>
    </row>
    <row r="10" spans="2:23" x14ac:dyDescent="0.3">
      <c r="B10" s="4" t="s">
        <v>239</v>
      </c>
      <c r="F10" s="321">
        <v>1250</v>
      </c>
      <c r="G10" s="321">
        <v>1250</v>
      </c>
      <c r="H10" s="321">
        <v>1350</v>
      </c>
      <c r="I10" s="321">
        <v>1350</v>
      </c>
      <c r="J10" s="321">
        <v>1350</v>
      </c>
      <c r="K10" s="321">
        <v>1350</v>
      </c>
      <c r="L10" s="321">
        <v>1400</v>
      </c>
      <c r="M10" s="321">
        <v>1400</v>
      </c>
      <c r="N10" s="321">
        <v>1500</v>
      </c>
      <c r="O10" s="321">
        <v>1500</v>
      </c>
      <c r="P10" s="321">
        <v>1500</v>
      </c>
      <c r="Q10" s="321">
        <v>1500</v>
      </c>
    </row>
    <row r="11" spans="2:23" x14ac:dyDescent="0.3">
      <c r="B11" s="4" t="s">
        <v>240</v>
      </c>
      <c r="F11" s="326">
        <v>0.85</v>
      </c>
      <c r="G11" s="326">
        <v>0.85</v>
      </c>
      <c r="H11" s="326">
        <v>0.85</v>
      </c>
      <c r="I11" s="326">
        <v>0.85</v>
      </c>
      <c r="J11" s="326">
        <v>0.85</v>
      </c>
      <c r="K11" s="326">
        <v>0.85</v>
      </c>
      <c r="L11" s="326">
        <v>0.85</v>
      </c>
      <c r="M11" s="326">
        <v>0.85</v>
      </c>
      <c r="N11" s="326">
        <v>0.85</v>
      </c>
      <c r="O11" s="326">
        <v>0.85</v>
      </c>
      <c r="P11" s="326">
        <v>0.85</v>
      </c>
      <c r="Q11" s="326">
        <v>0.85</v>
      </c>
    </row>
    <row r="12" spans="2:23" x14ac:dyDescent="0.3">
      <c r="B12" s="4" t="s">
        <v>241</v>
      </c>
      <c r="F12" s="327">
        <f t="shared" ref="F12:Q12" si="1">F10*F11</f>
        <v>1062.5</v>
      </c>
      <c r="G12" s="327">
        <f t="shared" si="1"/>
        <v>1062.5</v>
      </c>
      <c r="H12" s="327">
        <f t="shared" si="1"/>
        <v>1147.5</v>
      </c>
      <c r="I12" s="327">
        <f t="shared" si="1"/>
        <v>1147.5</v>
      </c>
      <c r="J12" s="327">
        <f t="shared" si="1"/>
        <v>1147.5</v>
      </c>
      <c r="K12" s="327">
        <f t="shared" si="1"/>
        <v>1147.5</v>
      </c>
      <c r="L12" s="327">
        <f t="shared" si="1"/>
        <v>1190</v>
      </c>
      <c r="M12" s="327">
        <f t="shared" si="1"/>
        <v>1190</v>
      </c>
      <c r="N12" s="327">
        <f t="shared" si="1"/>
        <v>1275</v>
      </c>
      <c r="O12" s="327">
        <f t="shared" si="1"/>
        <v>1275</v>
      </c>
      <c r="P12" s="327">
        <f t="shared" si="1"/>
        <v>1275</v>
      </c>
      <c r="Q12" s="327">
        <f t="shared" si="1"/>
        <v>1275</v>
      </c>
    </row>
    <row r="13" spans="2:23" x14ac:dyDescent="0.3">
      <c r="B13" s="4" t="s">
        <v>228</v>
      </c>
      <c r="F13" s="321">
        <v>7750</v>
      </c>
      <c r="G13" s="321">
        <v>7750</v>
      </c>
      <c r="H13" s="321">
        <v>7750</v>
      </c>
      <c r="I13" s="321">
        <v>7750</v>
      </c>
      <c r="J13" s="321">
        <v>7750</v>
      </c>
      <c r="K13" s="321">
        <v>7750</v>
      </c>
      <c r="L13" s="321">
        <v>7750</v>
      </c>
      <c r="M13" s="321">
        <v>7750</v>
      </c>
      <c r="N13" s="321">
        <v>7750</v>
      </c>
      <c r="O13" s="321">
        <v>7750</v>
      </c>
      <c r="P13" s="321">
        <v>7750</v>
      </c>
      <c r="Q13" s="321">
        <v>7750</v>
      </c>
    </row>
    <row r="14" spans="2:23" x14ac:dyDescent="0.3">
      <c r="B14" s="4" t="s">
        <v>231</v>
      </c>
      <c r="F14" s="322">
        <v>600</v>
      </c>
      <c r="G14" s="322">
        <v>600</v>
      </c>
      <c r="H14" s="322">
        <v>600</v>
      </c>
      <c r="I14" s="322">
        <v>600</v>
      </c>
      <c r="J14" s="322">
        <v>600</v>
      </c>
      <c r="K14" s="322">
        <v>600</v>
      </c>
      <c r="L14" s="322">
        <v>600</v>
      </c>
      <c r="M14" s="322">
        <v>600</v>
      </c>
      <c r="N14" s="322">
        <v>600</v>
      </c>
      <c r="O14" s="322">
        <v>600</v>
      </c>
      <c r="P14" s="322">
        <v>600</v>
      </c>
      <c r="Q14" s="322">
        <v>600</v>
      </c>
    </row>
    <row r="15" spans="2:23" x14ac:dyDescent="0.3">
      <c r="B15" s="4" t="s">
        <v>229</v>
      </c>
      <c r="F15" s="319">
        <f t="shared" ref="F15:Q15" si="2">F9+F12+F14</f>
        <v>4605.3571428571431</v>
      </c>
      <c r="G15" s="319">
        <f t="shared" si="2"/>
        <v>4633.9285714285716</v>
      </c>
      <c r="H15" s="319">
        <f t="shared" si="2"/>
        <v>4747.5</v>
      </c>
      <c r="I15" s="319">
        <f t="shared" si="2"/>
        <v>4776.0714285714284</v>
      </c>
      <c r="J15" s="319">
        <f t="shared" si="2"/>
        <v>4804.6428571428569</v>
      </c>
      <c r="K15" s="319">
        <f t="shared" si="2"/>
        <v>4833.2142857142862</v>
      </c>
      <c r="L15" s="319">
        <f t="shared" si="2"/>
        <v>4904.2857142857138</v>
      </c>
      <c r="M15" s="319">
        <f t="shared" si="2"/>
        <v>4932.8571428571431</v>
      </c>
      <c r="N15" s="319">
        <f t="shared" si="2"/>
        <v>5046.4285714285716</v>
      </c>
      <c r="O15" s="319">
        <f t="shared" si="2"/>
        <v>5075</v>
      </c>
      <c r="P15" s="319">
        <f t="shared" si="2"/>
        <v>5103.5714285714284</v>
      </c>
      <c r="Q15" s="319">
        <f t="shared" si="2"/>
        <v>5132.1428571428569</v>
      </c>
    </row>
    <row r="16" spans="2:23" x14ac:dyDescent="0.3">
      <c r="B16" s="25"/>
      <c r="C16" s="329"/>
      <c r="D16" s="329"/>
      <c r="E16" s="329"/>
      <c r="F16" s="385" t="s">
        <v>232</v>
      </c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29"/>
      <c r="S16" s="329"/>
      <c r="T16" s="329"/>
      <c r="U16" s="329"/>
      <c r="V16" s="329"/>
    </row>
    <row r="17" spans="2:22" x14ac:dyDescent="0.3">
      <c r="B17" s="4" t="s">
        <v>233</v>
      </c>
      <c r="F17" s="323">
        <v>0.63</v>
      </c>
      <c r="G17" s="323">
        <v>0.63</v>
      </c>
      <c r="H17" s="323">
        <v>0.63</v>
      </c>
      <c r="I17" s="323">
        <v>0.63</v>
      </c>
      <c r="J17" s="323">
        <v>0.63</v>
      </c>
      <c r="K17" s="323">
        <v>0.63</v>
      </c>
      <c r="L17" s="323">
        <v>0.63</v>
      </c>
      <c r="M17" s="323">
        <v>0.63</v>
      </c>
      <c r="N17" s="323">
        <v>0.63</v>
      </c>
      <c r="O17" s="323">
        <v>0.63</v>
      </c>
      <c r="P17" s="323">
        <v>0.63</v>
      </c>
      <c r="Q17" s="323">
        <v>0.63</v>
      </c>
    </row>
    <row r="18" spans="2:22" x14ac:dyDescent="0.3">
      <c r="B18" s="4" t="s">
        <v>234</v>
      </c>
      <c r="F18" s="220">
        <f t="shared" ref="F18:Q18" si="3">F15*F17</f>
        <v>2901.375</v>
      </c>
      <c r="G18" s="220">
        <f t="shared" si="3"/>
        <v>2919.375</v>
      </c>
      <c r="H18" s="220">
        <f t="shared" si="3"/>
        <v>2990.9250000000002</v>
      </c>
      <c r="I18" s="220">
        <f t="shared" si="3"/>
        <v>3008.9249999999997</v>
      </c>
      <c r="J18" s="220">
        <f t="shared" si="3"/>
        <v>3026.9249999999997</v>
      </c>
      <c r="K18" s="220">
        <f t="shared" si="3"/>
        <v>3044.9250000000002</v>
      </c>
      <c r="L18" s="220">
        <f t="shared" si="3"/>
        <v>3089.7</v>
      </c>
      <c r="M18" s="220">
        <f t="shared" si="3"/>
        <v>3107.7000000000003</v>
      </c>
      <c r="N18" s="220">
        <f t="shared" si="3"/>
        <v>3179.25</v>
      </c>
      <c r="O18" s="220">
        <f t="shared" si="3"/>
        <v>3197.25</v>
      </c>
      <c r="P18" s="220">
        <f t="shared" si="3"/>
        <v>3215.25</v>
      </c>
      <c r="Q18" s="220">
        <f t="shared" si="3"/>
        <v>3233.25</v>
      </c>
    </row>
    <row r="19" spans="2:22" x14ac:dyDescent="0.3">
      <c r="B19" s="4" t="s">
        <v>236</v>
      </c>
      <c r="F19" s="323">
        <v>0.1</v>
      </c>
      <c r="G19" s="323">
        <v>0.1</v>
      </c>
      <c r="H19" s="323">
        <v>0.1</v>
      </c>
      <c r="I19" s="323">
        <v>0.1</v>
      </c>
      <c r="J19" s="323">
        <v>0.1</v>
      </c>
      <c r="K19" s="323">
        <v>0.1</v>
      </c>
      <c r="L19" s="323">
        <v>0.1</v>
      </c>
      <c r="M19" s="323">
        <v>0.1</v>
      </c>
      <c r="N19" s="323">
        <v>0.1</v>
      </c>
      <c r="O19" s="323">
        <v>0.1</v>
      </c>
      <c r="P19" s="323">
        <v>0.1</v>
      </c>
      <c r="Q19" s="323">
        <v>0.1</v>
      </c>
    </row>
    <row r="20" spans="2:22" x14ac:dyDescent="0.3">
      <c r="B20" s="4" t="s">
        <v>237</v>
      </c>
      <c r="F20" s="220">
        <f t="shared" ref="F20:Q20" si="4">F18*F19</f>
        <v>290.13749999999999</v>
      </c>
      <c r="G20" s="220">
        <f t="shared" si="4"/>
        <v>291.9375</v>
      </c>
      <c r="H20" s="220">
        <f t="shared" si="4"/>
        <v>299.09250000000003</v>
      </c>
      <c r="I20" s="220">
        <f t="shared" si="4"/>
        <v>300.89249999999998</v>
      </c>
      <c r="J20" s="220">
        <f t="shared" si="4"/>
        <v>302.6925</v>
      </c>
      <c r="K20" s="220">
        <f t="shared" si="4"/>
        <v>304.49250000000001</v>
      </c>
      <c r="L20" s="220">
        <f t="shared" si="4"/>
        <v>308.97000000000003</v>
      </c>
      <c r="M20" s="220">
        <f t="shared" si="4"/>
        <v>310.77000000000004</v>
      </c>
      <c r="N20" s="220">
        <f t="shared" si="4"/>
        <v>317.92500000000001</v>
      </c>
      <c r="O20" s="220">
        <f t="shared" si="4"/>
        <v>319.72500000000002</v>
      </c>
      <c r="P20" s="220">
        <f t="shared" si="4"/>
        <v>321.52500000000003</v>
      </c>
      <c r="Q20" s="220">
        <f t="shared" si="4"/>
        <v>323.32500000000005</v>
      </c>
    </row>
    <row r="21" spans="2:22" x14ac:dyDescent="0.3">
      <c r="B21" s="4" t="s">
        <v>238</v>
      </c>
      <c r="F21" s="323">
        <f t="shared" ref="F21:Q21" si="5">1-F19</f>
        <v>0.9</v>
      </c>
      <c r="G21" s="323">
        <f t="shared" si="5"/>
        <v>0.9</v>
      </c>
      <c r="H21" s="323">
        <f t="shared" si="5"/>
        <v>0.9</v>
      </c>
      <c r="I21" s="323">
        <f t="shared" si="5"/>
        <v>0.9</v>
      </c>
      <c r="J21" s="323">
        <f t="shared" si="5"/>
        <v>0.9</v>
      </c>
      <c r="K21" s="323">
        <f t="shared" si="5"/>
        <v>0.9</v>
      </c>
      <c r="L21" s="323">
        <f t="shared" si="5"/>
        <v>0.9</v>
      </c>
      <c r="M21" s="323">
        <f t="shared" si="5"/>
        <v>0.9</v>
      </c>
      <c r="N21" s="323">
        <f t="shared" si="5"/>
        <v>0.9</v>
      </c>
      <c r="O21" s="323">
        <f t="shared" si="5"/>
        <v>0.9</v>
      </c>
      <c r="P21" s="323">
        <f t="shared" si="5"/>
        <v>0.9</v>
      </c>
      <c r="Q21" s="323">
        <f t="shared" si="5"/>
        <v>0.9</v>
      </c>
    </row>
    <row r="22" spans="2:22" x14ac:dyDescent="0.3">
      <c r="B22" s="4" t="s">
        <v>235</v>
      </c>
      <c r="F22" s="220">
        <f t="shared" ref="F22:Q22" si="6">F18*F21</f>
        <v>2611.2375000000002</v>
      </c>
      <c r="G22" s="220">
        <f t="shared" si="6"/>
        <v>2627.4375</v>
      </c>
      <c r="H22" s="220">
        <f t="shared" si="6"/>
        <v>2691.8325000000004</v>
      </c>
      <c r="I22" s="220">
        <f t="shared" si="6"/>
        <v>2708.0324999999998</v>
      </c>
      <c r="J22" s="220">
        <f t="shared" si="6"/>
        <v>2724.2324999999996</v>
      </c>
      <c r="K22" s="220">
        <f t="shared" si="6"/>
        <v>2740.4325000000003</v>
      </c>
      <c r="L22" s="220">
        <f t="shared" si="6"/>
        <v>2780.73</v>
      </c>
      <c r="M22" s="220">
        <f t="shared" si="6"/>
        <v>2796.9300000000003</v>
      </c>
      <c r="N22" s="220">
        <f t="shared" si="6"/>
        <v>2861.3250000000003</v>
      </c>
      <c r="O22" s="220">
        <f t="shared" si="6"/>
        <v>2877.5250000000001</v>
      </c>
      <c r="P22" s="220">
        <f t="shared" si="6"/>
        <v>2893.7249999999999</v>
      </c>
      <c r="Q22" s="220">
        <f t="shared" si="6"/>
        <v>2909.9250000000002</v>
      </c>
    </row>
    <row r="23" spans="2:22" x14ac:dyDescent="0.3">
      <c r="B23" s="4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</row>
    <row r="24" spans="2:22" ht="15" customHeight="1" x14ac:dyDescent="0.3">
      <c r="B24" s="25"/>
      <c r="C24" s="329"/>
      <c r="D24" s="329"/>
      <c r="E24" s="329"/>
      <c r="F24" s="386" t="s">
        <v>282</v>
      </c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29"/>
      <c r="S24" s="329"/>
      <c r="T24" s="329"/>
      <c r="U24" s="329"/>
      <c r="V24" s="329"/>
    </row>
    <row r="25" spans="2:22" x14ac:dyDescent="0.3">
      <c r="B25" s="344" t="s">
        <v>337</v>
      </c>
      <c r="C25" s="342" t="s">
        <v>260</v>
      </c>
      <c r="D25" s="9">
        <v>135</v>
      </c>
      <c r="F25" s="323">
        <f>F26/F22</f>
        <v>6.0124749280752898E-2</v>
      </c>
      <c r="G25" s="323">
        <f t="shared" ref="G25:Q25" si="7">G26/G22</f>
        <v>6.0134636884797449E-2</v>
      </c>
      <c r="H25" s="323">
        <f t="shared" si="7"/>
        <v>6.0182050703377711E-2</v>
      </c>
      <c r="I25" s="323">
        <f t="shared" si="7"/>
        <v>5.9822029462349512E-2</v>
      </c>
      <c r="J25" s="323">
        <f t="shared" si="7"/>
        <v>5.9833365911316314E-2</v>
      </c>
      <c r="K25" s="323">
        <f t="shared" si="7"/>
        <v>5.9844568329999001E-2</v>
      </c>
      <c r="L25" s="323">
        <f t="shared" si="7"/>
        <v>6.0056172300079473E-2</v>
      </c>
      <c r="M25" s="323">
        <f t="shared" si="7"/>
        <v>6.0065857922793911E-2</v>
      </c>
      <c r="N25" s="323">
        <f t="shared" si="7"/>
        <v>6.0112011043834582E-2</v>
      </c>
      <c r="O25" s="323">
        <f t="shared" si="7"/>
        <v>6.0121111024230893E-2</v>
      </c>
      <c r="P25" s="323">
        <f t="shared" si="7"/>
        <v>6.0130109115413527E-2</v>
      </c>
      <c r="Q25" s="323">
        <f t="shared" si="7"/>
        <v>6.0139007019081245E-2</v>
      </c>
    </row>
    <row r="26" spans="2:22" x14ac:dyDescent="0.3">
      <c r="B26" s="344"/>
      <c r="C26" s="342"/>
      <c r="E26" t="s">
        <v>307</v>
      </c>
      <c r="F26" s="330">
        <v>157</v>
      </c>
      <c r="G26" s="330">
        <v>158</v>
      </c>
      <c r="H26" s="330">
        <v>162</v>
      </c>
      <c r="I26" s="330">
        <v>162</v>
      </c>
      <c r="J26" s="330">
        <v>163</v>
      </c>
      <c r="K26" s="330">
        <v>164</v>
      </c>
      <c r="L26" s="330">
        <v>167</v>
      </c>
      <c r="M26" s="330">
        <v>168</v>
      </c>
      <c r="N26" s="330">
        <v>172</v>
      </c>
      <c r="O26" s="330">
        <v>173</v>
      </c>
      <c r="P26" s="330">
        <v>174</v>
      </c>
      <c r="Q26" s="330">
        <v>175</v>
      </c>
    </row>
    <row r="27" spans="2:22" x14ac:dyDescent="0.3">
      <c r="B27" s="344"/>
      <c r="C27" s="342"/>
      <c r="D27" s="388" t="s">
        <v>306</v>
      </c>
      <c r="E27" s="388"/>
      <c r="F27" s="320">
        <f t="shared" ref="F27:Q27" si="8">IF($B25&gt;" ", F26*$D25," ")</f>
        <v>21195</v>
      </c>
      <c r="G27" s="320">
        <f t="shared" si="8"/>
        <v>21330</v>
      </c>
      <c r="H27" s="320">
        <f t="shared" si="8"/>
        <v>21870</v>
      </c>
      <c r="I27" s="320">
        <f t="shared" si="8"/>
        <v>21870</v>
      </c>
      <c r="J27" s="320">
        <f t="shared" si="8"/>
        <v>22005</v>
      </c>
      <c r="K27" s="320">
        <f t="shared" si="8"/>
        <v>22140</v>
      </c>
      <c r="L27" s="320">
        <f t="shared" si="8"/>
        <v>22545</v>
      </c>
      <c r="M27" s="320">
        <f t="shared" si="8"/>
        <v>22680</v>
      </c>
      <c r="N27" s="320">
        <f t="shared" si="8"/>
        <v>23220</v>
      </c>
      <c r="O27" s="320">
        <f t="shared" si="8"/>
        <v>23355</v>
      </c>
      <c r="P27" s="320">
        <f t="shared" si="8"/>
        <v>23490</v>
      </c>
      <c r="Q27" s="320">
        <f t="shared" si="8"/>
        <v>23625</v>
      </c>
    </row>
    <row r="28" spans="2:22" x14ac:dyDescent="0.3">
      <c r="B28" s="344" t="s">
        <v>338</v>
      </c>
      <c r="C28" s="342" t="s">
        <v>260</v>
      </c>
      <c r="D28" s="9">
        <v>190</v>
      </c>
      <c r="F28" s="337">
        <f>F29/F22</f>
        <v>6.0124749280752898E-2</v>
      </c>
      <c r="G28" s="337">
        <f t="shared" ref="G28:Q28" si="9">G29/G22</f>
        <v>6.0134636884797449E-2</v>
      </c>
      <c r="H28" s="337">
        <f t="shared" si="9"/>
        <v>6.0182050703377711E-2</v>
      </c>
      <c r="I28" s="337">
        <f t="shared" si="9"/>
        <v>5.9822029462349512E-2</v>
      </c>
      <c r="J28" s="337">
        <f t="shared" si="9"/>
        <v>5.9833365911316314E-2</v>
      </c>
      <c r="K28" s="337">
        <f t="shared" si="9"/>
        <v>5.9844568329999001E-2</v>
      </c>
      <c r="L28" s="337">
        <f t="shared" si="9"/>
        <v>6.0056172300079473E-2</v>
      </c>
      <c r="M28" s="337">
        <f t="shared" si="9"/>
        <v>6.0065857922793911E-2</v>
      </c>
      <c r="N28" s="337">
        <f t="shared" si="9"/>
        <v>6.0112011043834582E-2</v>
      </c>
      <c r="O28" s="337">
        <f t="shared" si="9"/>
        <v>6.0121111024230893E-2</v>
      </c>
      <c r="P28" s="337">
        <f t="shared" si="9"/>
        <v>6.0130109115413527E-2</v>
      </c>
      <c r="Q28" s="337">
        <f t="shared" si="9"/>
        <v>6.0139007019081245E-2</v>
      </c>
    </row>
    <row r="29" spans="2:22" x14ac:dyDescent="0.3">
      <c r="B29" s="344"/>
      <c r="C29" s="342"/>
      <c r="E29" t="s">
        <v>307</v>
      </c>
      <c r="F29" s="330">
        <v>157</v>
      </c>
      <c r="G29" s="330">
        <v>158</v>
      </c>
      <c r="H29" s="330">
        <v>162</v>
      </c>
      <c r="I29" s="330">
        <v>162</v>
      </c>
      <c r="J29" s="330">
        <v>163</v>
      </c>
      <c r="K29" s="330">
        <v>164</v>
      </c>
      <c r="L29" s="330">
        <v>167</v>
      </c>
      <c r="M29" s="330">
        <v>168</v>
      </c>
      <c r="N29" s="330">
        <v>172</v>
      </c>
      <c r="O29" s="330">
        <v>173</v>
      </c>
      <c r="P29" s="330">
        <v>174</v>
      </c>
      <c r="Q29" s="330">
        <v>175</v>
      </c>
    </row>
    <row r="30" spans="2:22" x14ac:dyDescent="0.3">
      <c r="B30" s="344"/>
      <c r="C30" s="342"/>
      <c r="D30" s="388" t="s">
        <v>306</v>
      </c>
      <c r="E30" s="388"/>
      <c r="F30" s="320">
        <f t="shared" ref="F30:Q30" si="10">IF($B28&gt;" ", F29*$D28," ")</f>
        <v>29830</v>
      </c>
      <c r="G30" s="320">
        <f t="shared" si="10"/>
        <v>30020</v>
      </c>
      <c r="H30" s="320">
        <f t="shared" si="10"/>
        <v>30780</v>
      </c>
      <c r="I30" s="320">
        <f t="shared" si="10"/>
        <v>30780</v>
      </c>
      <c r="J30" s="320">
        <f t="shared" si="10"/>
        <v>30970</v>
      </c>
      <c r="K30" s="320">
        <f t="shared" si="10"/>
        <v>31160</v>
      </c>
      <c r="L30" s="320">
        <f t="shared" si="10"/>
        <v>31730</v>
      </c>
      <c r="M30" s="320">
        <f t="shared" si="10"/>
        <v>31920</v>
      </c>
      <c r="N30" s="320">
        <f t="shared" si="10"/>
        <v>32680</v>
      </c>
      <c r="O30" s="320">
        <f t="shared" si="10"/>
        <v>32870</v>
      </c>
      <c r="P30" s="320">
        <f t="shared" si="10"/>
        <v>33060</v>
      </c>
      <c r="Q30" s="320">
        <f t="shared" si="10"/>
        <v>33250</v>
      </c>
    </row>
    <row r="31" spans="2:22" x14ac:dyDescent="0.3">
      <c r="B31" s="344" t="s">
        <v>339</v>
      </c>
      <c r="C31" s="342" t="s">
        <v>260</v>
      </c>
      <c r="D31" s="9">
        <v>265</v>
      </c>
      <c r="F31" s="337">
        <f>F32/F22</f>
        <v>0.11986653837500418</v>
      </c>
      <c r="G31" s="337">
        <f t="shared" ref="G31:Q31" si="11">G32/G22</f>
        <v>0.1198886748019696</v>
      </c>
      <c r="H31" s="337">
        <f t="shared" si="11"/>
        <v>0.11999260726661111</v>
      </c>
      <c r="I31" s="337">
        <f t="shared" si="11"/>
        <v>0.12001333071150365</v>
      </c>
      <c r="J31" s="337">
        <f t="shared" si="11"/>
        <v>0.12003380768711923</v>
      </c>
      <c r="K31" s="337">
        <f t="shared" si="11"/>
        <v>0.12005404256444921</v>
      </c>
      <c r="L31" s="337">
        <f t="shared" si="11"/>
        <v>0.12011234460015895</v>
      </c>
      <c r="M31" s="337">
        <f t="shared" si="11"/>
        <v>0.12013171584558782</v>
      </c>
      <c r="N31" s="337">
        <f t="shared" si="11"/>
        <v>0.1198745336513678</v>
      </c>
      <c r="O31" s="337">
        <f t="shared" si="11"/>
        <v>0.11989470117548935</v>
      </c>
      <c r="P31" s="337">
        <f t="shared" si="11"/>
        <v>0.11991464289108329</v>
      </c>
      <c r="Q31" s="337">
        <f t="shared" si="11"/>
        <v>0.11993436256948202</v>
      </c>
    </row>
    <row r="32" spans="2:22" x14ac:dyDescent="0.3">
      <c r="B32" s="344"/>
      <c r="C32" s="342"/>
      <c r="E32" t="s">
        <v>307</v>
      </c>
      <c r="F32" s="330">
        <v>313</v>
      </c>
      <c r="G32" s="330">
        <v>315</v>
      </c>
      <c r="H32" s="330">
        <v>323</v>
      </c>
      <c r="I32" s="330">
        <v>325</v>
      </c>
      <c r="J32" s="330">
        <v>327</v>
      </c>
      <c r="K32" s="330">
        <v>329</v>
      </c>
      <c r="L32" s="330">
        <v>334</v>
      </c>
      <c r="M32" s="330">
        <v>336</v>
      </c>
      <c r="N32" s="330">
        <v>343</v>
      </c>
      <c r="O32" s="330">
        <v>345</v>
      </c>
      <c r="P32" s="330">
        <v>347</v>
      </c>
      <c r="Q32" s="330">
        <v>349</v>
      </c>
    </row>
    <row r="33" spans="2:23" x14ac:dyDescent="0.3">
      <c r="B33" s="344"/>
      <c r="C33" s="342"/>
      <c r="D33" s="388" t="s">
        <v>306</v>
      </c>
      <c r="E33" s="388"/>
      <c r="F33" s="320">
        <f t="shared" ref="F33:Q33" si="12">IF($B31&gt;" ", F32*$D31," ")</f>
        <v>82945</v>
      </c>
      <c r="G33" s="320">
        <f t="shared" si="12"/>
        <v>83475</v>
      </c>
      <c r="H33" s="320">
        <f t="shared" si="12"/>
        <v>85595</v>
      </c>
      <c r="I33" s="320">
        <f t="shared" si="12"/>
        <v>86125</v>
      </c>
      <c r="J33" s="320">
        <f t="shared" si="12"/>
        <v>86655</v>
      </c>
      <c r="K33" s="320">
        <f t="shared" si="12"/>
        <v>87185</v>
      </c>
      <c r="L33" s="320">
        <f t="shared" si="12"/>
        <v>88510</v>
      </c>
      <c r="M33" s="320">
        <f t="shared" si="12"/>
        <v>89040</v>
      </c>
      <c r="N33" s="320">
        <f t="shared" si="12"/>
        <v>90895</v>
      </c>
      <c r="O33" s="320">
        <f t="shared" si="12"/>
        <v>91425</v>
      </c>
      <c r="P33" s="320">
        <f t="shared" si="12"/>
        <v>91955</v>
      </c>
      <c r="Q33" s="320">
        <f t="shared" si="12"/>
        <v>92485</v>
      </c>
    </row>
    <row r="34" spans="2:23" x14ac:dyDescent="0.3">
      <c r="B34" s="344" t="s">
        <v>340</v>
      </c>
      <c r="C34" s="342" t="s">
        <v>260</v>
      </c>
      <c r="D34" s="9">
        <v>380</v>
      </c>
      <c r="F34" s="337">
        <f>F35/F22</f>
        <v>0.27994389633267752</v>
      </c>
      <c r="G34" s="337">
        <f t="shared" ref="G34:Q34" si="13">G35/G22</f>
        <v>0.28012084017222105</v>
      </c>
      <c r="H34" s="337">
        <f t="shared" si="13"/>
        <v>0.28010658166880736</v>
      </c>
      <c r="I34" s="337">
        <f t="shared" si="13"/>
        <v>0.27990801439790697</v>
      </c>
      <c r="J34" s="337">
        <f t="shared" si="13"/>
        <v>0.28007888460327823</v>
      </c>
      <c r="K34" s="337">
        <f t="shared" si="13"/>
        <v>0.27988282871408066</v>
      </c>
      <c r="L34" s="337">
        <f t="shared" si="13"/>
        <v>0.28014226480096954</v>
      </c>
      <c r="M34" s="337">
        <f t="shared" si="13"/>
        <v>0.2799498021044502</v>
      </c>
      <c r="N34" s="337">
        <f t="shared" si="13"/>
        <v>0.2795907490410911</v>
      </c>
      <c r="O34" s="337">
        <f t="shared" si="13"/>
        <v>0.27975430274280849</v>
      </c>
      <c r="P34" s="337">
        <f t="shared" si="13"/>
        <v>0.28026160053218602</v>
      </c>
      <c r="Q34" s="337">
        <f t="shared" si="13"/>
        <v>0.2824815072553416</v>
      </c>
    </row>
    <row r="35" spans="2:23" ht="13.2" customHeight="1" x14ac:dyDescent="0.3">
      <c r="B35" s="344"/>
      <c r="C35" s="342"/>
      <c r="E35" t="s">
        <v>307</v>
      </c>
      <c r="F35" s="330">
        <v>731</v>
      </c>
      <c r="G35" s="330">
        <v>736</v>
      </c>
      <c r="H35" s="330">
        <v>754</v>
      </c>
      <c r="I35" s="330">
        <v>758</v>
      </c>
      <c r="J35" s="330">
        <v>763</v>
      </c>
      <c r="K35" s="330">
        <v>767</v>
      </c>
      <c r="L35" s="330">
        <v>779</v>
      </c>
      <c r="M35" s="330">
        <v>783</v>
      </c>
      <c r="N35" s="330">
        <v>800</v>
      </c>
      <c r="O35" s="330">
        <v>805</v>
      </c>
      <c r="P35" s="330">
        <v>811</v>
      </c>
      <c r="Q35" s="330">
        <v>822</v>
      </c>
    </row>
    <row r="36" spans="2:23" ht="13.2" customHeight="1" x14ac:dyDescent="0.3">
      <c r="B36" s="344"/>
      <c r="C36" s="342"/>
      <c r="D36" s="388" t="s">
        <v>306</v>
      </c>
      <c r="E36" s="388"/>
      <c r="F36" s="220">
        <f t="shared" ref="F36:Q36" si="14">IF($B34&gt;" ", F35*$D34," ")</f>
        <v>277780</v>
      </c>
      <c r="G36" s="220">
        <f t="shared" si="14"/>
        <v>279680</v>
      </c>
      <c r="H36" s="220">
        <f t="shared" si="14"/>
        <v>286520</v>
      </c>
      <c r="I36" s="220">
        <f t="shared" si="14"/>
        <v>288040</v>
      </c>
      <c r="J36" s="220">
        <f t="shared" si="14"/>
        <v>289940</v>
      </c>
      <c r="K36" s="220">
        <f t="shared" si="14"/>
        <v>291460</v>
      </c>
      <c r="L36" s="220">
        <f t="shared" si="14"/>
        <v>296020</v>
      </c>
      <c r="M36" s="220">
        <f t="shared" si="14"/>
        <v>297540</v>
      </c>
      <c r="N36" s="220">
        <f t="shared" si="14"/>
        <v>304000</v>
      </c>
      <c r="O36" s="220">
        <f t="shared" si="14"/>
        <v>305900</v>
      </c>
      <c r="P36" s="220">
        <f t="shared" si="14"/>
        <v>308180</v>
      </c>
      <c r="Q36" s="220">
        <f t="shared" si="14"/>
        <v>312360</v>
      </c>
    </row>
    <row r="37" spans="2:23" x14ac:dyDescent="0.3">
      <c r="B37" s="344" t="s">
        <v>341</v>
      </c>
      <c r="C37" s="342" t="s">
        <v>260</v>
      </c>
      <c r="D37" s="9">
        <v>470</v>
      </c>
      <c r="F37" s="337">
        <f>F38/F22</f>
        <v>0.47984911368651834</v>
      </c>
      <c r="G37" s="337">
        <f t="shared" ref="G37:Q37" si="15">G38/G22</f>
        <v>0.47993529817550368</v>
      </c>
      <c r="H37" s="337">
        <f t="shared" si="15"/>
        <v>0.47997042906644444</v>
      </c>
      <c r="I37" s="337">
        <f t="shared" si="15"/>
        <v>0.4800533228460146</v>
      </c>
      <c r="J37" s="337">
        <f t="shared" si="15"/>
        <v>0.48013523074847692</v>
      </c>
      <c r="K37" s="337">
        <f t="shared" si="15"/>
        <v>0.47985126435334563</v>
      </c>
      <c r="L37" s="337">
        <f t="shared" si="15"/>
        <v>0.48008976060243175</v>
      </c>
      <c r="M37" s="337">
        <f t="shared" si="15"/>
        <v>0.48016932851376326</v>
      </c>
      <c r="N37" s="337">
        <f t="shared" si="15"/>
        <v>0.47984762304177259</v>
      </c>
      <c r="O37" s="337">
        <f t="shared" si="15"/>
        <v>0.47992632557492981</v>
      </c>
      <c r="P37" s="337">
        <f t="shared" si="15"/>
        <v>0.48000414690407694</v>
      </c>
      <c r="Q37" s="337">
        <f t="shared" si="15"/>
        <v>0.48008110174660856</v>
      </c>
    </row>
    <row r="38" spans="2:23" x14ac:dyDescent="0.3">
      <c r="B38" s="4"/>
      <c r="E38" t="s">
        <v>307</v>
      </c>
      <c r="F38" s="330">
        <v>1253</v>
      </c>
      <c r="G38" s="330">
        <v>1261</v>
      </c>
      <c r="H38" s="330">
        <v>1292</v>
      </c>
      <c r="I38" s="330">
        <v>1300</v>
      </c>
      <c r="J38" s="330">
        <v>1308</v>
      </c>
      <c r="K38" s="330">
        <v>1315</v>
      </c>
      <c r="L38" s="330">
        <v>1335</v>
      </c>
      <c r="M38" s="330">
        <v>1343</v>
      </c>
      <c r="N38" s="330">
        <v>1373</v>
      </c>
      <c r="O38" s="330">
        <v>1381</v>
      </c>
      <c r="P38" s="330">
        <v>1389</v>
      </c>
      <c r="Q38" s="330">
        <v>1397</v>
      </c>
    </row>
    <row r="39" spans="2:23" x14ac:dyDescent="0.3">
      <c r="B39" s="4"/>
      <c r="D39" s="388" t="s">
        <v>306</v>
      </c>
      <c r="E39" s="388"/>
      <c r="F39" s="220">
        <f t="shared" ref="F39:Q39" si="16">IF($B37&gt;" ", F38*$D37," ")</f>
        <v>588910</v>
      </c>
      <c r="G39" s="220">
        <f t="shared" si="16"/>
        <v>592670</v>
      </c>
      <c r="H39" s="220">
        <f t="shared" si="16"/>
        <v>607240</v>
      </c>
      <c r="I39" s="220">
        <f t="shared" si="16"/>
        <v>611000</v>
      </c>
      <c r="J39" s="220">
        <f t="shared" si="16"/>
        <v>614760</v>
      </c>
      <c r="K39" s="220">
        <f t="shared" si="16"/>
        <v>618050</v>
      </c>
      <c r="L39" s="220">
        <f t="shared" si="16"/>
        <v>627450</v>
      </c>
      <c r="M39" s="220">
        <f t="shared" si="16"/>
        <v>631210</v>
      </c>
      <c r="N39" s="220">
        <f t="shared" si="16"/>
        <v>645310</v>
      </c>
      <c r="O39" s="220">
        <f t="shared" si="16"/>
        <v>649070</v>
      </c>
      <c r="P39" s="220">
        <f t="shared" si="16"/>
        <v>652830</v>
      </c>
      <c r="Q39" s="220">
        <f t="shared" si="16"/>
        <v>656590</v>
      </c>
    </row>
    <row r="40" spans="2:23" ht="13.2" customHeight="1" x14ac:dyDescent="0.3">
      <c r="B40" s="335"/>
      <c r="C40" s="335"/>
      <c r="D40" s="335"/>
      <c r="E40" s="335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214"/>
      <c r="S40" s="214"/>
      <c r="T40" s="214"/>
      <c r="U40" s="214"/>
      <c r="V40" s="214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39"/>
      <c r="C42" s="203"/>
      <c r="D42" s="340"/>
      <c r="F42" s="339" t="s">
        <v>19</v>
      </c>
      <c r="G42" s="203"/>
      <c r="H42" s="203"/>
      <c r="I42" s="203"/>
      <c r="J42" s="340"/>
      <c r="L42" s="383" t="s">
        <v>20</v>
      </c>
      <c r="M42" s="383"/>
      <c r="N42" s="383"/>
      <c r="O42" s="383"/>
      <c r="P42" s="383"/>
      <c r="Q42" s="383"/>
      <c r="R42" s="383" t="s">
        <v>21</v>
      </c>
      <c r="S42" s="383"/>
      <c r="T42" s="383"/>
      <c r="U42" s="383"/>
      <c r="V42" s="383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13"/>
    </row>
    <row r="44" spans="2:23" x14ac:dyDescent="0.3">
      <c r="B44" s="4" t="s">
        <v>119</v>
      </c>
      <c r="D44" s="5"/>
      <c r="F44" s="18">
        <f>'IS 2024'!U17</f>
        <v>4830841</v>
      </c>
      <c r="G44" s="1">
        <f>'IS 2025'!U17</f>
        <v>6860174.7340000002</v>
      </c>
      <c r="H44" s="1">
        <f>'IS 2026'!U17</f>
        <v>7601190</v>
      </c>
      <c r="I44" s="1">
        <f>'IS 2027'!U17</f>
        <v>11288870</v>
      </c>
      <c r="J44" s="194">
        <f>'IS 2028'!U17</f>
        <v>12737175</v>
      </c>
      <c r="K44" s="1"/>
    </row>
    <row r="45" spans="2:23" x14ac:dyDescent="0.3">
      <c r="B45" s="4" t="s">
        <v>3</v>
      </c>
      <c r="D45" s="5"/>
      <c r="F45" s="18">
        <f>'IS 2024'!U18</f>
        <v>-124680</v>
      </c>
      <c r="G45" s="1">
        <f>'IS 2025'!U18</f>
        <v>-124680</v>
      </c>
      <c r="H45" s="1">
        <f>'IS 2026'!U18</f>
        <v>103320</v>
      </c>
      <c r="I45" s="1">
        <f>'IS 2027'!U18</f>
        <v>-390528</v>
      </c>
      <c r="J45" s="194">
        <f>'IS 2028'!U18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5130697</v>
      </c>
      <c r="G46" s="1">
        <f>G44-G45-G48-G49-G50</f>
        <v>7160030.7340000002</v>
      </c>
      <c r="H46" s="1">
        <f>H44-H45-H48-H49-H50</f>
        <v>8165046</v>
      </c>
      <c r="I46" s="1">
        <f>I44-I45-I48-I49-I50</f>
        <v>12652476</v>
      </c>
      <c r="J46" s="194">
        <f>J44-J45-J48-J49-J50</f>
        <v>14159781</v>
      </c>
      <c r="K46" s="1"/>
    </row>
    <row r="47" spans="2:23" x14ac:dyDescent="0.3">
      <c r="B47" s="4" t="s">
        <v>30</v>
      </c>
      <c r="D47" s="5"/>
      <c r="F47" s="195">
        <f>F46/F44</f>
        <v>1.0620711797386833</v>
      </c>
      <c r="G47" s="19">
        <f>G46/G44</f>
        <v>1.0437096738241769</v>
      </c>
      <c r="H47" s="19">
        <f>H46/H44</f>
        <v>1.0741799639267009</v>
      </c>
      <c r="I47" s="19">
        <f>I46/I44</f>
        <v>1.1207920721914593</v>
      </c>
      <c r="J47" s="196">
        <f>J46/J44</f>
        <v>1.1116892874597388</v>
      </c>
      <c r="K47" s="19"/>
    </row>
    <row r="48" spans="2:23" x14ac:dyDescent="0.3">
      <c r="B48" s="4" t="s">
        <v>5</v>
      </c>
      <c r="D48" s="5"/>
      <c r="F48" s="18">
        <f>'IS 2024'!U39</f>
        <v>-48756</v>
      </c>
      <c r="G48" s="1">
        <f>'IS 2025'!U40</f>
        <v>-48756</v>
      </c>
      <c r="H48" s="1">
        <f>'IS 2026'!U39</f>
        <v>-540756</v>
      </c>
      <c r="I48" s="1">
        <f>'IS 2027'!U38</f>
        <v>-540756</v>
      </c>
      <c r="J48" s="194">
        <f>'IS 2028'!U38</f>
        <v>-540756</v>
      </c>
      <c r="K48" s="1"/>
    </row>
    <row r="49" spans="2:11" x14ac:dyDescent="0.3">
      <c r="B49" s="4" t="s">
        <v>6</v>
      </c>
      <c r="D49" s="5"/>
      <c r="F49" s="18">
        <f>'IS 2024'!U38</f>
        <v>-27420</v>
      </c>
      <c r="G49" s="1">
        <f>'IS 2025'!U39</f>
        <v>-27420</v>
      </c>
      <c r="H49" s="1">
        <f>'IS 2026'!U38</f>
        <v>-27420</v>
      </c>
      <c r="I49" s="1">
        <f>'IS 2027'!U37</f>
        <v>-333322</v>
      </c>
      <c r="J49" s="194">
        <f>'IS 2028'!U37</f>
        <v>-333322</v>
      </c>
      <c r="K49" s="1"/>
    </row>
    <row r="50" spans="2:11" x14ac:dyDescent="0.3">
      <c r="B50" s="4" t="s">
        <v>7</v>
      </c>
      <c r="D50" s="5"/>
      <c r="F50" s="18">
        <f>'IS 2024'!U58</f>
        <v>-99000</v>
      </c>
      <c r="G50" s="1">
        <f>'IS 2025'!U59</f>
        <v>-99000</v>
      </c>
      <c r="H50" s="1">
        <f>'IS 2026'!U58</f>
        <v>-99000</v>
      </c>
      <c r="I50" s="1">
        <f>'IS 2027'!U56</f>
        <v>-99000</v>
      </c>
      <c r="J50" s="194">
        <f>'IS 2028'!U56</f>
        <v>-99000</v>
      </c>
      <c r="K50" s="1"/>
    </row>
    <row r="51" spans="2:11" x14ac:dyDescent="0.3">
      <c r="B51" s="4" t="s">
        <v>8</v>
      </c>
      <c r="D51" s="5"/>
      <c r="F51" s="18">
        <f>F60/F44*100</f>
        <v>75.841717829255813</v>
      </c>
      <c r="G51" s="1">
        <f>F60/F44*100</f>
        <v>75.841717829255813</v>
      </c>
      <c r="H51" s="1">
        <f>F60/F44*100</f>
        <v>75.841717829255813</v>
      </c>
      <c r="I51" s="1">
        <f>I60/I44*100</f>
        <v>74.168769770579345</v>
      </c>
      <c r="J51" s="194">
        <f>J60/J44*100</f>
        <v>74.461252200743104</v>
      </c>
      <c r="K51" s="1"/>
    </row>
    <row r="52" spans="2:11" x14ac:dyDescent="0.3">
      <c r="B52" s="4" t="s">
        <v>9</v>
      </c>
      <c r="D52" s="5"/>
      <c r="F52" s="195">
        <f>F60/F44</f>
        <v>0.75841717829255817</v>
      </c>
      <c r="G52" s="19">
        <f>G60/G44</f>
        <v>0.77071794702190144</v>
      </c>
      <c r="H52" s="19">
        <f>H60/H44</f>
        <v>0.79756880172709799</v>
      </c>
      <c r="I52" s="19">
        <f>I60/I44</f>
        <v>0.74168769770579346</v>
      </c>
      <c r="J52" s="196">
        <f>J60/J44</f>
        <v>0.74461252200743111</v>
      </c>
      <c r="K52" s="19"/>
    </row>
    <row r="53" spans="2:11" x14ac:dyDescent="0.3">
      <c r="B53" s="4" t="s">
        <v>10</v>
      </c>
      <c r="D53" s="5"/>
      <c r="F53" s="18">
        <f>'IS 2024'!U59</f>
        <v>4579741</v>
      </c>
      <c r="G53" s="1">
        <f>'IS 2025'!U60</f>
        <v>6609074.7340000002</v>
      </c>
      <c r="H53" s="1">
        <f>'IS 2026'!U59</f>
        <v>7578090</v>
      </c>
      <c r="I53" s="1">
        <f>'IS 2026'!U59</f>
        <v>7578090</v>
      </c>
      <c r="J53" s="194">
        <f>'IS 2028'!U57</f>
        <v>11855325</v>
      </c>
      <c r="K53" s="1"/>
    </row>
    <row r="54" spans="2:11" x14ac:dyDescent="0.3">
      <c r="B54" s="4" t="s">
        <v>22</v>
      </c>
      <c r="D54" s="5"/>
      <c r="F54" s="195">
        <f>F53/F44</f>
        <v>0.94802147286569771</v>
      </c>
      <c r="G54" s="19">
        <f>F53/F44</f>
        <v>0.94802147286569771</v>
      </c>
      <c r="H54" s="19">
        <f>F53/F44</f>
        <v>0.94802147286569771</v>
      </c>
      <c r="I54" s="19">
        <f>I53/I44</f>
        <v>0.67128862321915306</v>
      </c>
      <c r="J54" s="196">
        <f>J53/J44</f>
        <v>0.93076565250928878</v>
      </c>
      <c r="K54" s="19"/>
    </row>
    <row r="55" spans="2:11" x14ac:dyDescent="0.3">
      <c r="B55" s="4" t="s">
        <v>11</v>
      </c>
      <c r="D55" s="5"/>
      <c r="F55" s="18">
        <f>'IS 2024'!U60</f>
        <v>-20532</v>
      </c>
      <c r="G55" s="1">
        <f>'IS 2025'!U61</f>
        <v>-17800</v>
      </c>
      <c r="H55" s="1">
        <f>'IS 2026'!U60</f>
        <v>-21149</v>
      </c>
      <c r="I55" s="1">
        <f>'IS 2027'!U58</f>
        <v>-21537</v>
      </c>
      <c r="J55" s="194">
        <f>'IS 2028'!U58</f>
        <v>-21292</v>
      </c>
      <c r="K55" s="1"/>
    </row>
    <row r="56" spans="2:11" x14ac:dyDescent="0.3">
      <c r="B56" s="4" t="s">
        <v>12</v>
      </c>
      <c r="D56" s="5"/>
      <c r="F56" s="18">
        <f>'IS 2024'!U61</f>
        <v>4559209</v>
      </c>
      <c r="G56" s="1">
        <f>'IS 2025'!U62</f>
        <v>6591274.7340000002</v>
      </c>
      <c r="H56" s="1">
        <f>'IS 2026'!U61</f>
        <v>7588139</v>
      </c>
      <c r="I56" s="1">
        <f>'IS 2027'!U59</f>
        <v>10444483</v>
      </c>
      <c r="J56" s="194">
        <f>'IS 2028'!U59</f>
        <v>11834033</v>
      </c>
      <c r="K56" s="1"/>
    </row>
    <row r="57" spans="2:11" x14ac:dyDescent="0.3">
      <c r="B57" s="4" t="s">
        <v>13</v>
      </c>
      <c r="D57" s="5"/>
      <c r="F57" s="18">
        <f>'IS 2024'!U62</f>
        <v>-1098002.4000000001</v>
      </c>
      <c r="G57" s="1">
        <f>'IS 2025'!U63</f>
        <v>-613644</v>
      </c>
      <c r="H57" s="1">
        <f>'IS 2026'!U62</f>
        <v>-104689.20000000001</v>
      </c>
      <c r="I57" s="1">
        <f>'IS 2027'!U60</f>
        <v>0</v>
      </c>
      <c r="J57" s="194">
        <f>'IS 2028'!U60</f>
        <v>0</v>
      </c>
      <c r="K57" s="1"/>
    </row>
    <row r="58" spans="2:11" x14ac:dyDescent="0.3">
      <c r="B58" s="4" t="s">
        <v>14</v>
      </c>
      <c r="D58" s="5"/>
      <c r="F58" s="18">
        <f>'IS 2024'!U63</f>
        <v>4579741</v>
      </c>
      <c r="G58" s="1">
        <f>'IS 2025'!U64</f>
        <v>6609074.7340000002</v>
      </c>
      <c r="H58" s="1">
        <f>'IS 2026'!U63</f>
        <v>7578090</v>
      </c>
      <c r="I58" s="1">
        <f>'IS 2027'!U61</f>
        <v>10466020</v>
      </c>
      <c r="J58" s="194">
        <f>'IS 2028'!U61</f>
        <v>11855325</v>
      </c>
      <c r="K58" s="1"/>
    </row>
    <row r="59" spans="2:11" x14ac:dyDescent="0.3">
      <c r="B59" s="4" t="s">
        <v>15</v>
      </c>
      <c r="D59" s="5"/>
      <c r="F59" s="18">
        <f>'IS 2024'!U64</f>
        <v>-915948.2</v>
      </c>
      <c r="G59" s="1">
        <f>'IS 2025'!U65</f>
        <v>-1321814.9468</v>
      </c>
      <c r="H59" s="1">
        <f>'IS 2026'!U64</f>
        <v>-1515618</v>
      </c>
      <c r="I59" s="1">
        <f>'IS 2027'!U62</f>
        <v>-2093204.0000000005</v>
      </c>
      <c r="J59" s="194">
        <f>'IS 2028'!U62</f>
        <v>-2371065.0000000005</v>
      </c>
      <c r="K59" s="1"/>
    </row>
    <row r="60" spans="2:11" x14ac:dyDescent="0.3">
      <c r="B60" s="4" t="s">
        <v>16</v>
      </c>
      <c r="D60" s="5"/>
      <c r="F60" s="18">
        <f>'IS 2024'!U65</f>
        <v>3663792.8</v>
      </c>
      <c r="G60" s="1">
        <f>'IS 2025'!U66</f>
        <v>5287259.7871999992</v>
      </c>
      <c r="H60" s="1">
        <f>'IS 2026'!U65</f>
        <v>6062472</v>
      </c>
      <c r="I60" s="1">
        <f>'IS 2027'!U63</f>
        <v>8372816.0000000009</v>
      </c>
      <c r="J60" s="194">
        <f>'IS 2028'!U63</f>
        <v>9484260.0000000019</v>
      </c>
      <c r="K60" s="1"/>
    </row>
    <row r="61" spans="2:11" x14ac:dyDescent="0.3">
      <c r="B61" s="4" t="s">
        <v>17</v>
      </c>
      <c r="D61" s="5"/>
      <c r="F61" s="195">
        <f>F60/F44</f>
        <v>0.75841717829255817</v>
      </c>
      <c r="G61" s="19">
        <f>G60/G44</f>
        <v>0.77071794702190144</v>
      </c>
      <c r="H61" s="19">
        <f>H60/H44</f>
        <v>0.79756880172709799</v>
      </c>
      <c r="I61" s="19">
        <f>I60/I44</f>
        <v>0.74168769770579346</v>
      </c>
      <c r="J61" s="196">
        <f>J60/J44</f>
        <v>0.74461252200743111</v>
      </c>
      <c r="K61" s="19"/>
    </row>
    <row r="62" spans="2:11" x14ac:dyDescent="0.3">
      <c r="B62" s="4" t="s">
        <v>148</v>
      </c>
      <c r="D62" s="5"/>
      <c r="F62" s="18">
        <f>F60-F50-F55</f>
        <v>3783324.8</v>
      </c>
      <c r="G62" s="1">
        <f>G60-G50-G55</f>
        <v>5404059.7871999992</v>
      </c>
      <c r="H62" s="1">
        <f>H60-H50-H55</f>
        <v>6182621</v>
      </c>
      <c r="I62" s="1">
        <f>I60-I50-I55</f>
        <v>8493353</v>
      </c>
      <c r="J62" s="194">
        <f>J60-J50-J55</f>
        <v>9604552.0000000019</v>
      </c>
      <c r="K62" s="1"/>
    </row>
    <row r="63" spans="2:11" x14ac:dyDescent="0.3">
      <c r="B63" s="6" t="s">
        <v>147</v>
      </c>
      <c r="C63" s="343"/>
      <c r="D63" s="7"/>
      <c r="F63" s="197">
        <f>F62-F48-F49-F50</f>
        <v>3958500.8</v>
      </c>
      <c r="G63" s="20">
        <f>G62-G48-G49-G50</f>
        <v>5579235.7871999992</v>
      </c>
      <c r="H63" s="20">
        <f>H62-H48-H49-H50</f>
        <v>6849797</v>
      </c>
      <c r="I63" s="20">
        <f>I62-I48-I49-I50</f>
        <v>9466431</v>
      </c>
      <c r="J63" s="198">
        <f>J62-J48-J49-J50</f>
        <v>10577630.000000002</v>
      </c>
      <c r="K63" s="1"/>
    </row>
  </sheetData>
  <mergeCells count="10">
    <mergeCell ref="F6:Q6"/>
    <mergeCell ref="L42:Q42"/>
    <mergeCell ref="R42:V42"/>
    <mergeCell ref="F16:Q16"/>
    <mergeCell ref="F24:Q24"/>
    <mergeCell ref="D27:E27"/>
    <mergeCell ref="D30:E30"/>
    <mergeCell ref="D33:E33"/>
    <mergeCell ref="D36:E36"/>
    <mergeCell ref="D39:E39"/>
  </mergeCells>
  <conditionalFormatting sqref="F40:Q40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7180-A3C0-4165-9B6B-6F9A4C347E52}">
  <sheetPr codeName="Sheet27"/>
  <dimension ref="A1:AP81"/>
  <sheetViews>
    <sheetView showGridLines="0" workbookViewId="0">
      <selection activeCell="C12" sqref="C12:C16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9.8867187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144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8"/>
    </row>
    <row r="5" spans="1:42" x14ac:dyDescent="0.3">
      <c r="A5" s="150"/>
      <c r="B5" s="153" t="s">
        <v>176</v>
      </c>
      <c r="C5" s="150"/>
      <c r="D5" s="150"/>
      <c r="E5" s="150"/>
      <c r="F5" s="208">
        <v>2028</v>
      </c>
      <c r="G5" s="208">
        <v>2028</v>
      </c>
      <c r="H5" s="208">
        <v>2028</v>
      </c>
      <c r="I5" s="208">
        <v>2028</v>
      </c>
      <c r="J5" s="208">
        <v>2028</v>
      </c>
      <c r="K5" s="208">
        <v>2028</v>
      </c>
      <c r="L5" s="208">
        <v>2028</v>
      </c>
      <c r="M5" s="208">
        <v>2028</v>
      </c>
      <c r="N5" s="208">
        <v>2028</v>
      </c>
      <c r="O5" s="208">
        <v>2028</v>
      </c>
      <c r="P5" s="208">
        <v>2028</v>
      </c>
      <c r="Q5" s="208">
        <v>2028</v>
      </c>
      <c r="R5" s="208"/>
      <c r="S5" s="208"/>
      <c r="T5" s="208"/>
      <c r="U5" s="181" t="s">
        <v>78</v>
      </c>
    </row>
    <row r="6" spans="1:42" ht="15" thickBot="1" x14ac:dyDescent="0.35">
      <c r="A6" s="152"/>
      <c r="B6" s="160" t="s">
        <v>70</v>
      </c>
      <c r="C6" s="152"/>
      <c r="D6" s="152"/>
      <c r="E6" s="152"/>
      <c r="F6" s="207" t="s">
        <v>32</v>
      </c>
      <c r="G6" s="207" t="s">
        <v>33</v>
      </c>
      <c r="H6" s="207" t="s">
        <v>34</v>
      </c>
      <c r="I6" s="207" t="s">
        <v>35</v>
      </c>
      <c r="J6" s="207" t="s">
        <v>36</v>
      </c>
      <c r="K6" s="207" t="s">
        <v>37</v>
      </c>
      <c r="L6" s="207" t="s">
        <v>38</v>
      </c>
      <c r="M6" s="207" t="s">
        <v>39</v>
      </c>
      <c r="N6" s="207" t="s">
        <v>40</v>
      </c>
      <c r="O6" s="207" t="s">
        <v>41</v>
      </c>
      <c r="P6" s="207" t="s">
        <v>42</v>
      </c>
      <c r="Q6" s="207" t="s">
        <v>43</v>
      </c>
      <c r="R6" s="207"/>
      <c r="S6" s="207"/>
      <c r="T6" s="207"/>
      <c r="U6" s="167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309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337</v>
      </c>
      <c r="D12" s="13"/>
      <c r="E12" s="13"/>
      <c r="F12" s="158">
        <f>'2028 Sales Summary'!F27</f>
        <v>21195</v>
      </c>
      <c r="G12" s="158">
        <f>'2028 Sales Summary'!G27</f>
        <v>21330</v>
      </c>
      <c r="H12" s="158">
        <f>'2028 Sales Summary'!H27</f>
        <v>21870</v>
      </c>
      <c r="I12" s="158">
        <f>'2028 Sales Summary'!I27</f>
        <v>21870</v>
      </c>
      <c r="J12" s="158">
        <f>'2028 Sales Summary'!J27</f>
        <v>22005</v>
      </c>
      <c r="K12" s="158">
        <f>'2028 Sales Summary'!K27</f>
        <v>22140</v>
      </c>
      <c r="L12" s="158">
        <f>'2028 Sales Summary'!L27</f>
        <v>22545</v>
      </c>
      <c r="M12" s="158">
        <f>'2028 Sales Summary'!M27</f>
        <v>22680</v>
      </c>
      <c r="N12" s="158">
        <f>'2028 Sales Summary'!N27</f>
        <v>23220</v>
      </c>
      <c r="O12" s="158">
        <f>'2028 Sales Summary'!O27</f>
        <v>23355</v>
      </c>
      <c r="P12" s="158">
        <f>'2028 Sales Summary'!P27</f>
        <v>23490</v>
      </c>
      <c r="Q12" s="158">
        <f>'2028 Sales Summary'!Q27</f>
        <v>23625</v>
      </c>
      <c r="R12" s="158"/>
      <c r="S12" s="158"/>
      <c r="T12" s="158"/>
      <c r="U12" s="13"/>
    </row>
    <row r="13" spans="1:42" x14ac:dyDescent="0.3">
      <c r="A13" s="13"/>
      <c r="B13" s="13"/>
      <c r="C13" s="145" t="s">
        <v>338</v>
      </c>
      <c r="D13" s="13"/>
      <c r="E13" s="13"/>
      <c r="F13" s="158">
        <f>'2028 Sales Summary'!F30</f>
        <v>29830</v>
      </c>
      <c r="G13" s="158">
        <f>'2028 Sales Summary'!G30</f>
        <v>30020</v>
      </c>
      <c r="H13" s="158">
        <f>'2028 Sales Summary'!H30</f>
        <v>30780</v>
      </c>
      <c r="I13" s="158">
        <f>'2028 Sales Summary'!I30</f>
        <v>30780</v>
      </c>
      <c r="J13" s="158">
        <f>'2028 Sales Summary'!J30</f>
        <v>30970</v>
      </c>
      <c r="K13" s="158">
        <f>'2028 Sales Summary'!K30</f>
        <v>31160</v>
      </c>
      <c r="L13" s="158">
        <f>'2028 Sales Summary'!L30</f>
        <v>31730</v>
      </c>
      <c r="M13" s="158">
        <f>'2028 Sales Summary'!M30</f>
        <v>31920</v>
      </c>
      <c r="N13" s="158">
        <f>'2028 Sales Summary'!N30</f>
        <v>32680</v>
      </c>
      <c r="O13" s="158">
        <f>'2028 Sales Summary'!O30</f>
        <v>32870</v>
      </c>
      <c r="P13" s="158">
        <f>'2028 Sales Summary'!P30</f>
        <v>33060</v>
      </c>
      <c r="Q13" s="158">
        <f>'2028 Sales Summary'!Q30</f>
        <v>33250</v>
      </c>
      <c r="R13" s="158"/>
      <c r="S13" s="158"/>
      <c r="T13" s="158"/>
      <c r="U13" s="13"/>
    </row>
    <row r="14" spans="1:42" x14ac:dyDescent="0.3">
      <c r="A14" s="13"/>
      <c r="B14" s="13"/>
      <c r="C14" s="145" t="s">
        <v>339</v>
      </c>
      <c r="D14" s="13"/>
      <c r="E14" s="13"/>
      <c r="F14" s="158">
        <f>'2028 Sales Summary'!F33</f>
        <v>82945</v>
      </c>
      <c r="G14" s="158">
        <f>'2028 Sales Summary'!G33</f>
        <v>83475</v>
      </c>
      <c r="H14" s="158">
        <f>'2028 Sales Summary'!H33</f>
        <v>85595</v>
      </c>
      <c r="I14" s="158">
        <f>'2028 Sales Summary'!I33</f>
        <v>86125</v>
      </c>
      <c r="J14" s="158">
        <f>'2028 Sales Summary'!J33</f>
        <v>86655</v>
      </c>
      <c r="K14" s="158">
        <f>'2028 Sales Summary'!K33</f>
        <v>87185</v>
      </c>
      <c r="L14" s="158">
        <f>'2028 Sales Summary'!L33</f>
        <v>88510</v>
      </c>
      <c r="M14" s="158">
        <f>'2028 Sales Summary'!M33</f>
        <v>89040</v>
      </c>
      <c r="N14" s="158">
        <f>'2028 Sales Summary'!N33</f>
        <v>90895</v>
      </c>
      <c r="O14" s="158">
        <f>'2028 Sales Summary'!O33</f>
        <v>91425</v>
      </c>
      <c r="P14" s="158">
        <f>'2028 Sales Summary'!P33</f>
        <v>91955</v>
      </c>
      <c r="Q14" s="158">
        <f>'2028 Sales Summary'!Q33</f>
        <v>92485</v>
      </c>
      <c r="R14" s="158"/>
      <c r="S14" s="158"/>
      <c r="T14" s="158"/>
      <c r="U14" s="13"/>
    </row>
    <row r="15" spans="1:42" x14ac:dyDescent="0.3">
      <c r="A15" s="13"/>
      <c r="B15" s="13"/>
      <c r="C15" s="145" t="s">
        <v>340</v>
      </c>
      <c r="D15" s="13"/>
      <c r="E15" s="13"/>
      <c r="F15" s="158">
        <f>'2028 Sales Summary'!F36</f>
        <v>277780</v>
      </c>
      <c r="G15" s="158">
        <f>'2028 Sales Summary'!G36</f>
        <v>279680</v>
      </c>
      <c r="H15" s="158">
        <f>'2028 Sales Summary'!H36</f>
        <v>286520</v>
      </c>
      <c r="I15" s="158">
        <f>'2028 Sales Summary'!I36</f>
        <v>288040</v>
      </c>
      <c r="J15" s="158">
        <f>'2028 Sales Summary'!J36</f>
        <v>289940</v>
      </c>
      <c r="K15" s="158">
        <f>'2028 Sales Summary'!K36</f>
        <v>291460</v>
      </c>
      <c r="L15" s="158">
        <f>'2028 Sales Summary'!L36</f>
        <v>296020</v>
      </c>
      <c r="M15" s="158">
        <f>'2028 Sales Summary'!M36</f>
        <v>297540</v>
      </c>
      <c r="N15" s="158">
        <f>'2028 Sales Summary'!N36</f>
        <v>304000</v>
      </c>
      <c r="O15" s="158">
        <f>'2028 Sales Summary'!O36</f>
        <v>305900</v>
      </c>
      <c r="P15" s="158">
        <f>'2028 Sales Summary'!P36</f>
        <v>308180</v>
      </c>
      <c r="Q15" s="158">
        <f>'2028 Sales Summary'!Q36</f>
        <v>312360</v>
      </c>
      <c r="R15" s="158"/>
      <c r="S15" s="158"/>
      <c r="T15" s="158"/>
      <c r="U15" s="13"/>
    </row>
    <row r="16" spans="1:42" x14ac:dyDescent="0.3">
      <c r="A16" s="13"/>
      <c r="B16" s="13"/>
      <c r="C16" s="145" t="s">
        <v>341</v>
      </c>
      <c r="D16" s="13"/>
      <c r="E16" s="13"/>
      <c r="F16" s="158">
        <f>'2028 Sales Summary'!F39</f>
        <v>588910</v>
      </c>
      <c r="G16" s="158">
        <f>'2028 Sales Summary'!G39</f>
        <v>592670</v>
      </c>
      <c r="H16" s="158">
        <f>'2028 Sales Summary'!H39</f>
        <v>607240</v>
      </c>
      <c r="I16" s="158">
        <f>'2028 Sales Summary'!I39</f>
        <v>611000</v>
      </c>
      <c r="J16" s="158">
        <f>'2028 Sales Summary'!J39</f>
        <v>614760</v>
      </c>
      <c r="K16" s="158">
        <f>'2028 Sales Summary'!K39</f>
        <v>618050</v>
      </c>
      <c r="L16" s="158">
        <f>'2028 Sales Summary'!L39</f>
        <v>627450</v>
      </c>
      <c r="M16" s="158">
        <f>'2028 Sales Summary'!M39</f>
        <v>631210</v>
      </c>
      <c r="N16" s="158">
        <f>'2028 Sales Summary'!N39</f>
        <v>645310</v>
      </c>
      <c r="O16" s="158">
        <f>'2028 Sales Summary'!O39</f>
        <v>649070</v>
      </c>
      <c r="P16" s="158">
        <f>'2028 Sales Summary'!P39</f>
        <v>652830</v>
      </c>
      <c r="Q16" s="158">
        <f>'2028 Sales Summary'!Q39</f>
        <v>656590</v>
      </c>
      <c r="R16" s="157"/>
      <c r="S16" s="157"/>
      <c r="T16" s="158"/>
      <c r="U16" s="13"/>
    </row>
    <row r="17" spans="1:21" x14ac:dyDescent="0.3">
      <c r="A17" s="150"/>
      <c r="B17" s="150"/>
      <c r="C17" s="153" t="s">
        <v>119</v>
      </c>
      <c r="D17" s="150"/>
      <c r="E17" s="150"/>
      <c r="F17" s="151">
        <f>SUM(F12:F16)</f>
        <v>1000660</v>
      </c>
      <c r="G17" s="151">
        <f>SUM(G12:G16)</f>
        <v>1007175</v>
      </c>
      <c r="H17" s="151">
        <f>SUM(H12:H16)</f>
        <v>1032005</v>
      </c>
      <c r="I17" s="151">
        <f>SUM(I12:I16)</f>
        <v>1037815</v>
      </c>
      <c r="J17" s="151">
        <f t="shared" ref="J17:Q17" si="0">SUM(J12:J16)</f>
        <v>1044330</v>
      </c>
      <c r="K17" s="151">
        <f t="shared" si="0"/>
        <v>1049995</v>
      </c>
      <c r="L17" s="151">
        <f t="shared" si="0"/>
        <v>1066255</v>
      </c>
      <c r="M17" s="151">
        <f t="shared" si="0"/>
        <v>1072390</v>
      </c>
      <c r="N17" s="151">
        <f t="shared" si="0"/>
        <v>1096105</v>
      </c>
      <c r="O17" s="151">
        <f t="shared" si="0"/>
        <v>1102620</v>
      </c>
      <c r="P17" s="151">
        <f t="shared" si="0"/>
        <v>1109515</v>
      </c>
      <c r="Q17" s="151">
        <f t="shared" si="0"/>
        <v>1118310</v>
      </c>
      <c r="R17" s="151"/>
      <c r="S17" s="151"/>
      <c r="T17" s="162"/>
      <c r="U17" s="162">
        <f>SUM(F17:Q17)</f>
        <v>12737175</v>
      </c>
    </row>
    <row r="18" spans="1:21" x14ac:dyDescent="0.3">
      <c r="A18" s="152"/>
      <c r="B18" s="152"/>
      <c r="C18" s="160" t="s">
        <v>120</v>
      </c>
      <c r="D18" s="152"/>
      <c r="E18" s="152"/>
      <c r="F18" s="161">
        <f>SUM(F19:F24)</f>
        <v>-32544</v>
      </c>
      <c r="G18" s="161">
        <f t="shared" ref="G18:Q18" si="1">SUM(G19:G24)</f>
        <v>-32544</v>
      </c>
      <c r="H18" s="161">
        <f t="shared" si="1"/>
        <v>-38444</v>
      </c>
      <c r="I18" s="161">
        <f t="shared" si="1"/>
        <v>-38444</v>
      </c>
      <c r="J18" s="161">
        <f t="shared" si="1"/>
        <v>-38444</v>
      </c>
      <c r="K18" s="161">
        <f t="shared" si="1"/>
        <v>-38444</v>
      </c>
      <c r="L18" s="161">
        <f t="shared" si="1"/>
        <v>-38444</v>
      </c>
      <c r="M18" s="161">
        <f t="shared" si="1"/>
        <v>-38444</v>
      </c>
      <c r="N18" s="161">
        <f t="shared" si="1"/>
        <v>-38444</v>
      </c>
      <c r="O18" s="161">
        <f t="shared" si="1"/>
        <v>-38444</v>
      </c>
      <c r="P18" s="161">
        <f t="shared" si="1"/>
        <v>-38444</v>
      </c>
      <c r="Q18" s="161">
        <f t="shared" si="1"/>
        <v>-38444</v>
      </c>
      <c r="R18" s="161"/>
      <c r="S18" s="161"/>
      <c r="T18" s="156"/>
      <c r="U18" s="156">
        <f>SUM(F18:Q18)</f>
        <v>-449528</v>
      </c>
    </row>
    <row r="19" spans="1:21" x14ac:dyDescent="0.3">
      <c r="A19" s="13"/>
      <c r="B19" s="13"/>
      <c r="C19" s="145" t="s">
        <v>204</v>
      </c>
      <c r="D19" s="13"/>
      <c r="E19" s="13"/>
      <c r="F19" s="142">
        <v>-31654</v>
      </c>
      <c r="G19" s="142">
        <v>-31654</v>
      </c>
      <c r="H19" s="142">
        <v>-37554</v>
      </c>
      <c r="I19" s="142">
        <v>-37554</v>
      </c>
      <c r="J19" s="142">
        <v>-37554</v>
      </c>
      <c r="K19" s="142">
        <v>-37554</v>
      </c>
      <c r="L19" s="142">
        <v>-37554</v>
      </c>
      <c r="M19" s="142">
        <v>-37554</v>
      </c>
      <c r="N19" s="142">
        <v>-37554</v>
      </c>
      <c r="O19" s="142">
        <v>-37554</v>
      </c>
      <c r="P19" s="142">
        <v>-37554</v>
      </c>
      <c r="Q19" s="142">
        <v>-37554</v>
      </c>
      <c r="R19" s="142"/>
      <c r="S19" s="142"/>
      <c r="T19" s="142"/>
      <c r="U19" s="158">
        <f>SUM(F19:Q19)</f>
        <v>-438848</v>
      </c>
    </row>
    <row r="20" spans="1:21" x14ac:dyDescent="0.3">
      <c r="A20" s="13"/>
      <c r="B20" s="13"/>
      <c r="C20" s="145" t="s">
        <v>325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/>
      <c r="S20" s="143"/>
      <c r="T20" s="143"/>
      <c r="U20" s="158">
        <f t="shared" ref="U20:U22" si="2">SUM(F20:Q20)</f>
        <v>-8400</v>
      </c>
    </row>
    <row r="21" spans="1:21" x14ac:dyDescent="0.3">
      <c r="A21" s="13"/>
      <c r="B21" s="13"/>
      <c r="C21" s="145" t="s">
        <v>321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/>
      <c r="S21" s="143"/>
      <c r="T21" s="143"/>
      <c r="U21" s="158">
        <f t="shared" si="2"/>
        <v>-1500</v>
      </c>
    </row>
    <row r="22" spans="1:21" x14ac:dyDescent="0.3">
      <c r="A22" s="13"/>
      <c r="B22" s="13"/>
      <c r="C22" s="145" t="s">
        <v>322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/>
      <c r="S22" s="143"/>
      <c r="T22" s="143"/>
      <c r="U22" s="158">
        <f t="shared" si="2"/>
        <v>-780</v>
      </c>
    </row>
    <row r="23" spans="1:21" x14ac:dyDescent="0.3">
      <c r="A23" s="13"/>
      <c r="B23" s="13"/>
      <c r="C23" s="145" t="s">
        <v>208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209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3"/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63"/>
      <c r="B26" s="163"/>
      <c r="C26" s="164" t="s">
        <v>4</v>
      </c>
      <c r="D26" s="163"/>
      <c r="E26" s="163"/>
      <c r="F26" s="165">
        <f>SUM(F17+F18)</f>
        <v>968116</v>
      </c>
      <c r="G26" s="165">
        <f t="shared" ref="G26:Q26" si="3">SUM(G17+G18)</f>
        <v>974631</v>
      </c>
      <c r="H26" s="165">
        <f t="shared" si="3"/>
        <v>993561</v>
      </c>
      <c r="I26" s="165">
        <f t="shared" si="3"/>
        <v>999371</v>
      </c>
      <c r="J26" s="165">
        <f t="shared" si="3"/>
        <v>1005886</v>
      </c>
      <c r="K26" s="165">
        <f t="shared" si="3"/>
        <v>1011551</v>
      </c>
      <c r="L26" s="165">
        <f t="shared" si="3"/>
        <v>1027811</v>
      </c>
      <c r="M26" s="165">
        <f t="shared" si="3"/>
        <v>1033946</v>
      </c>
      <c r="N26" s="165">
        <f t="shared" si="3"/>
        <v>1057661</v>
      </c>
      <c r="O26" s="165">
        <f t="shared" si="3"/>
        <v>1064176</v>
      </c>
      <c r="P26" s="165">
        <f t="shared" si="3"/>
        <v>1071071</v>
      </c>
      <c r="Q26" s="165">
        <f t="shared" si="3"/>
        <v>1079866</v>
      </c>
      <c r="R26" s="165"/>
      <c r="S26" s="165"/>
      <c r="T26" s="165"/>
      <c r="U26" s="224">
        <f>SUM(F26:Q26)</f>
        <v>12287647</v>
      </c>
    </row>
    <row r="27" spans="1:21" x14ac:dyDescent="0.3">
      <c r="A27" s="13"/>
      <c r="B27" s="13"/>
      <c r="C27" s="143"/>
      <c r="D27" s="13"/>
      <c r="E27" s="1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0"/>
    </row>
    <row r="28" spans="1:21" x14ac:dyDescent="0.3">
      <c r="A28" s="13"/>
      <c r="B28" s="13"/>
      <c r="C28" s="144" t="s">
        <v>6</v>
      </c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x14ac:dyDescent="0.3">
      <c r="A29" s="13"/>
      <c r="B29" s="13"/>
      <c r="C29" s="145" t="s">
        <v>314</v>
      </c>
      <c r="D29" s="13"/>
      <c r="E29" s="13"/>
      <c r="F29" s="158">
        <v>-3493</v>
      </c>
      <c r="G29" s="158">
        <v>-3493</v>
      </c>
      <c r="H29" s="158">
        <v>-3493</v>
      </c>
      <c r="I29" s="158">
        <v>-3493</v>
      </c>
      <c r="J29" s="158">
        <v>-3493</v>
      </c>
      <c r="K29" s="158">
        <v>-3493</v>
      </c>
      <c r="L29" s="158">
        <v>-3493</v>
      </c>
      <c r="M29" s="158">
        <v>-3493</v>
      </c>
      <c r="N29" s="158">
        <v>-3493</v>
      </c>
      <c r="O29" s="158">
        <v>-3493</v>
      </c>
      <c r="P29" s="158">
        <v>-3493</v>
      </c>
      <c r="Q29" s="158">
        <v>-3493</v>
      </c>
      <c r="R29" s="158">
        <v>-3493</v>
      </c>
      <c r="S29" s="158">
        <v>-3493</v>
      </c>
      <c r="T29" s="158">
        <v>-3493</v>
      </c>
      <c r="U29" s="158">
        <f>SUM(F29:Q29)</f>
        <v>-41916</v>
      </c>
    </row>
    <row r="30" spans="1:21" x14ac:dyDescent="0.3">
      <c r="A30" s="13"/>
      <c r="B30" s="13"/>
      <c r="C30" s="145" t="s">
        <v>315</v>
      </c>
      <c r="D30" s="13"/>
      <c r="E30" s="13"/>
      <c r="F30" s="158">
        <v>-13493</v>
      </c>
      <c r="G30" s="158">
        <v>-13493</v>
      </c>
      <c r="H30" s="158">
        <v>-13493</v>
      </c>
      <c r="I30" s="158">
        <v>-13493</v>
      </c>
      <c r="J30" s="158">
        <v>-13493</v>
      </c>
      <c r="K30" s="158">
        <v>-13493</v>
      </c>
      <c r="L30" s="158">
        <v>-13493</v>
      </c>
      <c r="M30" s="158">
        <v>-13493</v>
      </c>
      <c r="N30" s="158">
        <v>-13493</v>
      </c>
      <c r="O30" s="158">
        <v>-13493</v>
      </c>
      <c r="P30" s="158">
        <v>-13493</v>
      </c>
      <c r="Q30" s="158">
        <v>-13493</v>
      </c>
      <c r="R30" s="380">
        <v>-3400</v>
      </c>
      <c r="S30" s="380">
        <v>-3400</v>
      </c>
      <c r="T30" s="380">
        <v>-3400</v>
      </c>
      <c r="U30" s="158">
        <f t="shared" ref="U30:U32" si="4">SUM(F30:Q30)</f>
        <v>-161916</v>
      </c>
    </row>
    <row r="31" spans="1:21" x14ac:dyDescent="0.3">
      <c r="A31" s="13"/>
      <c r="B31" s="13"/>
      <c r="C31" s="145" t="s">
        <v>287</v>
      </c>
      <c r="D31" s="13"/>
      <c r="E31" s="13"/>
      <c r="F31" s="158">
        <v>-493</v>
      </c>
      <c r="G31" s="158">
        <v>-493</v>
      </c>
      <c r="H31" s="158">
        <v>-493</v>
      </c>
      <c r="I31" s="158">
        <v>-493</v>
      </c>
      <c r="J31" s="158">
        <v>-493</v>
      </c>
      <c r="K31" s="158">
        <v>-493</v>
      </c>
      <c r="L31" s="158">
        <v>-493</v>
      </c>
      <c r="M31" s="158">
        <v>-493</v>
      </c>
      <c r="N31" s="158">
        <v>-493</v>
      </c>
      <c r="O31" s="158">
        <v>-493</v>
      </c>
      <c r="P31" s="158">
        <v>-493</v>
      </c>
      <c r="Q31" s="158">
        <v>-493</v>
      </c>
      <c r="R31" s="306" t="s">
        <v>146</v>
      </c>
      <c r="S31" s="306" t="s">
        <v>146</v>
      </c>
      <c r="T31" s="306" t="s">
        <v>146</v>
      </c>
      <c r="U31" s="158">
        <f t="shared" si="4"/>
        <v>-5916</v>
      </c>
    </row>
    <row r="32" spans="1:21" x14ac:dyDescent="0.3">
      <c r="A32" s="13"/>
      <c r="B32" s="13"/>
      <c r="C32" s="145" t="s">
        <v>323</v>
      </c>
      <c r="D32" s="13"/>
      <c r="E32" s="13"/>
      <c r="F32" s="380">
        <v>-11234</v>
      </c>
      <c r="G32" s="380">
        <v>-11234</v>
      </c>
      <c r="H32" s="380">
        <v>-11234</v>
      </c>
      <c r="I32" s="380">
        <v>-11234</v>
      </c>
      <c r="J32" s="380">
        <v>-11234</v>
      </c>
      <c r="K32" s="380">
        <v>-11234</v>
      </c>
      <c r="L32" s="380">
        <v>-11234</v>
      </c>
      <c r="M32" s="380">
        <v>-11234</v>
      </c>
      <c r="N32" s="380">
        <v>-11234</v>
      </c>
      <c r="O32" s="380">
        <v>-11234</v>
      </c>
      <c r="P32" s="380">
        <v>-11234</v>
      </c>
      <c r="Q32" s="306" t="s">
        <v>146</v>
      </c>
      <c r="R32" s="306" t="s">
        <v>146</v>
      </c>
      <c r="S32" s="306" t="s">
        <v>146</v>
      </c>
      <c r="T32" s="306" t="s">
        <v>146</v>
      </c>
      <c r="U32" s="158">
        <f t="shared" si="4"/>
        <v>-123574</v>
      </c>
    </row>
    <row r="33" spans="1:21" x14ac:dyDescent="0.3">
      <c r="A33" s="13"/>
      <c r="B33" s="13"/>
      <c r="C33" s="145" t="s">
        <v>124</v>
      </c>
      <c r="D33" s="13"/>
      <c r="E33" s="13"/>
      <c r="F33" s="159" t="s">
        <v>146</v>
      </c>
      <c r="G33" s="159" t="s">
        <v>146</v>
      </c>
      <c r="H33" s="159" t="s">
        <v>146</v>
      </c>
      <c r="I33" s="159" t="s">
        <v>146</v>
      </c>
      <c r="J33" s="159" t="s">
        <v>146</v>
      </c>
      <c r="K33" s="159" t="s">
        <v>146</v>
      </c>
      <c r="L33" s="159" t="s">
        <v>146</v>
      </c>
      <c r="M33" s="159" t="s">
        <v>146</v>
      </c>
      <c r="N33" s="159" t="s">
        <v>146</v>
      </c>
      <c r="O33" s="159" t="s">
        <v>146</v>
      </c>
      <c r="P33" s="159" t="s">
        <v>146</v>
      </c>
      <c r="Q33" s="159" t="s">
        <v>146</v>
      </c>
      <c r="R33" s="159" t="s">
        <v>146</v>
      </c>
      <c r="S33" s="159" t="s">
        <v>146</v>
      </c>
      <c r="T33" s="159" t="s">
        <v>146</v>
      </c>
      <c r="U33" s="140"/>
    </row>
    <row r="34" spans="1:21" x14ac:dyDescent="0.3">
      <c r="A34" s="13"/>
      <c r="B34" s="13"/>
      <c r="C34" s="145" t="s">
        <v>125</v>
      </c>
      <c r="D34" s="13"/>
      <c r="E34" s="13"/>
      <c r="F34" s="159" t="s">
        <v>146</v>
      </c>
      <c r="G34" s="159" t="s">
        <v>146</v>
      </c>
      <c r="H34" s="159" t="s">
        <v>146</v>
      </c>
      <c r="I34" s="159" t="s">
        <v>146</v>
      </c>
      <c r="J34" s="159" t="s">
        <v>146</v>
      </c>
      <c r="K34" s="159" t="s">
        <v>146</v>
      </c>
      <c r="L34" s="159" t="s">
        <v>146</v>
      </c>
      <c r="M34" s="159" t="s">
        <v>146</v>
      </c>
      <c r="N34" s="159" t="s">
        <v>146</v>
      </c>
      <c r="O34" s="159" t="s">
        <v>146</v>
      </c>
      <c r="P34" s="159" t="s">
        <v>146</v>
      </c>
      <c r="Q34" s="159" t="s">
        <v>146</v>
      </c>
      <c r="R34" s="159"/>
      <c r="S34" s="159"/>
      <c r="T34" s="159"/>
      <c r="U34" s="140"/>
    </row>
    <row r="35" spans="1:21" x14ac:dyDescent="0.3">
      <c r="A35" s="13"/>
      <c r="B35" s="13"/>
      <c r="C35" s="145" t="s">
        <v>126</v>
      </c>
      <c r="D35" s="13"/>
      <c r="E35" s="13"/>
      <c r="F35" s="159" t="s">
        <v>146</v>
      </c>
      <c r="G35" s="159" t="s">
        <v>146</v>
      </c>
      <c r="H35" s="159" t="s">
        <v>146</v>
      </c>
      <c r="I35" s="159" t="s">
        <v>146</v>
      </c>
      <c r="J35" s="159" t="s">
        <v>146</v>
      </c>
      <c r="K35" s="159" t="s">
        <v>146</v>
      </c>
      <c r="L35" s="159" t="s">
        <v>146</v>
      </c>
      <c r="M35" s="159" t="s">
        <v>146</v>
      </c>
      <c r="N35" s="159" t="s">
        <v>146</v>
      </c>
      <c r="O35" s="159" t="s">
        <v>146</v>
      </c>
      <c r="P35" s="159" t="s">
        <v>146</v>
      </c>
      <c r="Q35" s="159" t="s">
        <v>146</v>
      </c>
      <c r="R35" s="159"/>
      <c r="S35" s="159"/>
      <c r="T35" s="159"/>
      <c r="U35" s="140"/>
    </row>
    <row r="36" spans="1:21" x14ac:dyDescent="0.3">
      <c r="A36" s="13"/>
      <c r="B36" s="13"/>
      <c r="C36" s="145" t="s">
        <v>127</v>
      </c>
      <c r="D36" s="13"/>
      <c r="E36" s="13"/>
      <c r="F36" s="159" t="s">
        <v>146</v>
      </c>
      <c r="G36" s="159" t="s">
        <v>146</v>
      </c>
      <c r="H36" s="159" t="s">
        <v>146</v>
      </c>
      <c r="I36" s="159" t="s">
        <v>146</v>
      </c>
      <c r="J36" s="159" t="s">
        <v>146</v>
      </c>
      <c r="K36" s="159" t="s">
        <v>146</v>
      </c>
      <c r="L36" s="159" t="s">
        <v>146</v>
      </c>
      <c r="M36" s="159" t="s">
        <v>146</v>
      </c>
      <c r="N36" s="159" t="s">
        <v>146</v>
      </c>
      <c r="O36" s="159" t="s">
        <v>146</v>
      </c>
      <c r="P36" s="159" t="s">
        <v>146</v>
      </c>
      <c r="Q36" s="159" t="s">
        <v>146</v>
      </c>
      <c r="R36" s="159"/>
      <c r="S36" s="159"/>
      <c r="T36" s="159"/>
      <c r="U36" s="140"/>
    </row>
    <row r="37" spans="1:21" x14ac:dyDescent="0.3">
      <c r="A37" s="154"/>
      <c r="B37" s="154"/>
      <c r="C37" s="181" t="s">
        <v>128</v>
      </c>
      <c r="D37" s="154"/>
      <c r="E37" s="154"/>
      <c r="F37" s="162">
        <f>SUM(F29:F36)</f>
        <v>-28713</v>
      </c>
      <c r="G37" s="162">
        <f t="shared" ref="G37:Q37" si="5">SUM(G29:G36)</f>
        <v>-28713</v>
      </c>
      <c r="H37" s="162">
        <f t="shared" si="5"/>
        <v>-28713</v>
      </c>
      <c r="I37" s="162">
        <f t="shared" si="5"/>
        <v>-28713</v>
      </c>
      <c r="J37" s="162">
        <f t="shared" si="5"/>
        <v>-28713</v>
      </c>
      <c r="K37" s="162">
        <f t="shared" si="5"/>
        <v>-28713</v>
      </c>
      <c r="L37" s="162">
        <f t="shared" si="5"/>
        <v>-28713</v>
      </c>
      <c r="M37" s="162">
        <f t="shared" si="5"/>
        <v>-28713</v>
      </c>
      <c r="N37" s="162">
        <f t="shared" si="5"/>
        <v>-28713</v>
      </c>
      <c r="O37" s="162">
        <f t="shared" si="5"/>
        <v>-28713</v>
      </c>
      <c r="P37" s="162">
        <f t="shared" si="5"/>
        <v>-28713</v>
      </c>
      <c r="Q37" s="162">
        <f t="shared" si="5"/>
        <v>-17479</v>
      </c>
      <c r="R37" s="162"/>
      <c r="S37" s="162"/>
      <c r="T37" s="162"/>
      <c r="U37" s="162">
        <f>SUM(F37:Q37)</f>
        <v>-333322</v>
      </c>
    </row>
    <row r="38" spans="1:21" x14ac:dyDescent="0.3">
      <c r="A38" s="155"/>
      <c r="B38" s="155"/>
      <c r="C38" s="192" t="s">
        <v>129</v>
      </c>
      <c r="D38" s="155"/>
      <c r="E38" s="155"/>
      <c r="F38" s="156">
        <v>-45063</v>
      </c>
      <c r="G38" s="156">
        <v>-45063</v>
      </c>
      <c r="H38" s="156">
        <v>-45063</v>
      </c>
      <c r="I38" s="156">
        <v>-45063</v>
      </c>
      <c r="J38" s="156">
        <v>-45063</v>
      </c>
      <c r="K38" s="156">
        <v>-45063</v>
      </c>
      <c r="L38" s="156">
        <v>-45063</v>
      </c>
      <c r="M38" s="156">
        <v>-45063</v>
      </c>
      <c r="N38" s="156">
        <v>-45063</v>
      </c>
      <c r="O38" s="156">
        <v>-45063</v>
      </c>
      <c r="P38" s="156">
        <v>-45063</v>
      </c>
      <c r="Q38" s="156">
        <v>-45063</v>
      </c>
      <c r="R38" s="156"/>
      <c r="S38" s="156"/>
      <c r="T38" s="156"/>
      <c r="U38" s="156">
        <f>SUM(F38:Q38)</f>
        <v>-540756</v>
      </c>
    </row>
    <row r="39" spans="1:21" x14ac:dyDescent="0.3">
      <c r="A39" s="13"/>
      <c r="B39" s="13"/>
      <c r="C39" s="143"/>
      <c r="D39" s="13"/>
      <c r="E39" s="1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0"/>
    </row>
    <row r="40" spans="1:21" x14ac:dyDescent="0.3">
      <c r="A40" s="13"/>
      <c r="B40" s="13"/>
      <c r="C40" s="144" t="s">
        <v>31</v>
      </c>
      <c r="D40" s="13"/>
      <c r="E40" s="1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0"/>
    </row>
    <row r="41" spans="1:21" x14ac:dyDescent="0.3">
      <c r="A41" s="13"/>
      <c r="B41" s="13"/>
      <c r="C41" s="143" t="s">
        <v>324</v>
      </c>
      <c r="D41" s="13"/>
      <c r="E41" s="13"/>
      <c r="F41" s="158">
        <v>-1750</v>
      </c>
      <c r="G41" s="158">
        <v>-1750</v>
      </c>
      <c r="H41" s="158">
        <v>-1750</v>
      </c>
      <c r="I41" s="158">
        <v>-1750</v>
      </c>
      <c r="J41" s="158">
        <v>-1750</v>
      </c>
      <c r="K41" s="158">
        <v>-1750</v>
      </c>
      <c r="L41" s="158">
        <v>-1750</v>
      </c>
      <c r="M41" s="158">
        <v>-1750</v>
      </c>
      <c r="N41" s="158">
        <v>-1750</v>
      </c>
      <c r="O41" s="158">
        <v>-1750</v>
      </c>
      <c r="P41" s="158">
        <v>-1750</v>
      </c>
      <c r="Q41" s="158">
        <v>-1750</v>
      </c>
      <c r="R41" s="158"/>
      <c r="S41" s="158"/>
      <c r="T41" s="158"/>
      <c r="U41" s="158">
        <f>SUM(F41:Q41)</f>
        <v>-21000</v>
      </c>
    </row>
    <row r="42" spans="1:21" x14ac:dyDescent="0.3">
      <c r="A42" s="13"/>
      <c r="B42" s="13"/>
      <c r="C42" s="143" t="s">
        <v>325</v>
      </c>
      <c r="D42" s="13"/>
      <c r="E42" s="13"/>
      <c r="F42" s="158">
        <v>-2550</v>
      </c>
      <c r="G42" s="158">
        <v>-2550</v>
      </c>
      <c r="H42" s="158">
        <v>-2550</v>
      </c>
      <c r="I42" s="158">
        <v>-2550</v>
      </c>
      <c r="J42" s="158">
        <v>-2550</v>
      </c>
      <c r="K42" s="158">
        <v>-2550</v>
      </c>
      <c r="L42" s="158">
        <v>-2550</v>
      </c>
      <c r="M42" s="158">
        <v>-2550</v>
      </c>
      <c r="N42" s="158">
        <v>-2550</v>
      </c>
      <c r="O42" s="158">
        <v>-2550</v>
      </c>
      <c r="P42" s="158">
        <v>-2550</v>
      </c>
      <c r="Q42" s="158">
        <v>-2550</v>
      </c>
      <c r="R42" s="158"/>
      <c r="S42" s="158"/>
      <c r="T42" s="158"/>
      <c r="U42" s="158">
        <f t="shared" ref="U42:U55" si="6">SUM(F42:Q42)</f>
        <v>-30600</v>
      </c>
    </row>
    <row r="43" spans="1:21" x14ac:dyDescent="0.3">
      <c r="A43" s="13"/>
      <c r="B43" s="13"/>
      <c r="C43" s="143" t="s">
        <v>326</v>
      </c>
      <c r="D43" s="13"/>
      <c r="E43" s="13"/>
      <c r="F43" s="158">
        <v>-700</v>
      </c>
      <c r="G43" s="158">
        <v>-700</v>
      </c>
      <c r="H43" s="158">
        <v>-700</v>
      </c>
      <c r="I43" s="158">
        <v>-700</v>
      </c>
      <c r="J43" s="158">
        <v>-700</v>
      </c>
      <c r="K43" s="158">
        <v>-700</v>
      </c>
      <c r="L43" s="158">
        <v>-700</v>
      </c>
      <c r="M43" s="158">
        <v>-700</v>
      </c>
      <c r="N43" s="158">
        <v>-700</v>
      </c>
      <c r="O43" s="158">
        <v>-700</v>
      </c>
      <c r="P43" s="158">
        <v>-700</v>
      </c>
      <c r="Q43" s="158">
        <v>-700</v>
      </c>
      <c r="R43" s="158"/>
      <c r="S43" s="158"/>
      <c r="T43" s="158"/>
      <c r="U43" s="158">
        <f t="shared" si="6"/>
        <v>-8400</v>
      </c>
    </row>
    <row r="44" spans="1:21" x14ac:dyDescent="0.3">
      <c r="A44" s="13"/>
      <c r="B44" s="13"/>
      <c r="C44" s="143" t="s">
        <v>327</v>
      </c>
      <c r="D44" s="13"/>
      <c r="E44" s="13"/>
      <c r="F44" s="158">
        <v>-1350</v>
      </c>
      <c r="G44" s="158">
        <v>-1350</v>
      </c>
      <c r="H44" s="158">
        <v>-1350</v>
      </c>
      <c r="I44" s="158">
        <v>-1350</v>
      </c>
      <c r="J44" s="158">
        <v>-1350</v>
      </c>
      <c r="K44" s="158">
        <v>-1350</v>
      </c>
      <c r="L44" s="158">
        <v>-1350</v>
      </c>
      <c r="M44" s="158">
        <v>-1350</v>
      </c>
      <c r="N44" s="158">
        <v>-1350</v>
      </c>
      <c r="O44" s="158">
        <v>-1350</v>
      </c>
      <c r="P44" s="158">
        <v>-1350</v>
      </c>
      <c r="Q44" s="158">
        <v>-1350</v>
      </c>
      <c r="R44" s="158"/>
      <c r="S44" s="158"/>
      <c r="T44" s="158"/>
      <c r="U44" s="158">
        <f t="shared" si="6"/>
        <v>-16200</v>
      </c>
    </row>
    <row r="45" spans="1:21" x14ac:dyDescent="0.3">
      <c r="A45" s="13"/>
      <c r="B45" s="13"/>
      <c r="C45" s="143" t="s">
        <v>328</v>
      </c>
      <c r="D45" s="13"/>
      <c r="E45" s="13"/>
      <c r="F45" s="158">
        <v>-1900</v>
      </c>
      <c r="G45" s="158">
        <v>-1900</v>
      </c>
      <c r="H45" s="158">
        <v>-1900</v>
      </c>
      <c r="I45" s="158">
        <v>-1900</v>
      </c>
      <c r="J45" s="158">
        <v>-1900</v>
      </c>
      <c r="K45" s="158">
        <v>-1900</v>
      </c>
      <c r="L45" s="158">
        <v>-1900</v>
      </c>
      <c r="M45" s="158">
        <v>-1900</v>
      </c>
      <c r="N45" s="158">
        <v>-1900</v>
      </c>
      <c r="O45" s="158">
        <v>-1900</v>
      </c>
      <c r="P45" s="158">
        <v>-1900</v>
      </c>
      <c r="Q45" s="158">
        <v>-1900</v>
      </c>
      <c r="R45" s="158"/>
      <c r="S45" s="158"/>
      <c r="T45" s="158"/>
      <c r="U45" s="158">
        <f t="shared" si="6"/>
        <v>-22800</v>
      </c>
    </row>
    <row r="46" spans="1:21" x14ac:dyDescent="0.3">
      <c r="A46" s="13"/>
      <c r="B46" s="13"/>
      <c r="C46" s="143" t="s">
        <v>131</v>
      </c>
      <c r="D46" s="13"/>
      <c r="E46" s="13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8">
        <f t="shared" si="6"/>
        <v>0</v>
      </c>
    </row>
    <row r="47" spans="1:21" x14ac:dyDescent="0.3">
      <c r="A47" s="13"/>
      <c r="B47" s="13"/>
      <c r="C47" s="145" t="s">
        <v>132</v>
      </c>
      <c r="D47" s="13"/>
      <c r="E47" s="13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8">
        <f t="shared" si="6"/>
        <v>0</v>
      </c>
    </row>
    <row r="48" spans="1:21" x14ac:dyDescent="0.3">
      <c r="A48" s="13"/>
      <c r="B48" s="13"/>
      <c r="C48" s="145" t="s">
        <v>133</v>
      </c>
      <c r="D48" s="13"/>
      <c r="E48" s="13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8">
        <f t="shared" si="6"/>
        <v>0</v>
      </c>
    </row>
    <row r="49" spans="1:21" x14ac:dyDescent="0.3">
      <c r="A49" s="13"/>
      <c r="B49" s="13"/>
      <c r="C49" s="145" t="s">
        <v>134</v>
      </c>
      <c r="D49" s="13"/>
      <c r="E49" s="13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8">
        <f t="shared" si="6"/>
        <v>0</v>
      </c>
    </row>
    <row r="50" spans="1:21" x14ac:dyDescent="0.3">
      <c r="A50" s="13"/>
      <c r="B50" s="13"/>
      <c r="C50" s="145" t="s">
        <v>135</v>
      </c>
      <c r="D50" s="13"/>
      <c r="E50" s="13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8">
        <f t="shared" si="6"/>
        <v>0</v>
      </c>
    </row>
    <row r="51" spans="1:21" x14ac:dyDescent="0.3">
      <c r="A51" s="13"/>
      <c r="B51" s="13"/>
      <c r="C51" s="145" t="s">
        <v>136</v>
      </c>
      <c r="D51" s="13"/>
      <c r="E51" s="13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8">
        <f t="shared" si="6"/>
        <v>0</v>
      </c>
    </row>
    <row r="52" spans="1:21" x14ac:dyDescent="0.3">
      <c r="A52" s="13"/>
      <c r="B52" s="13"/>
      <c r="C52" s="145" t="s">
        <v>137</v>
      </c>
      <c r="D52" s="13"/>
      <c r="E52" s="13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8">
        <f t="shared" si="6"/>
        <v>0</v>
      </c>
    </row>
    <row r="53" spans="1:21" x14ac:dyDescent="0.3">
      <c r="A53" s="13"/>
      <c r="B53" s="13"/>
      <c r="C53" s="145" t="s">
        <v>138</v>
      </c>
      <c r="D53" s="13"/>
      <c r="E53" s="13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8">
        <f t="shared" si="6"/>
        <v>0</v>
      </c>
    </row>
    <row r="54" spans="1:21" x14ac:dyDescent="0.3">
      <c r="A54" s="13"/>
      <c r="B54" s="13"/>
      <c r="C54" s="145" t="s">
        <v>139</v>
      </c>
      <c r="D54" s="13"/>
      <c r="E54" s="13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8">
        <f t="shared" si="6"/>
        <v>0</v>
      </c>
    </row>
    <row r="55" spans="1:21" x14ac:dyDescent="0.3">
      <c r="A55" s="13"/>
      <c r="B55" s="13"/>
      <c r="C55" s="145" t="s">
        <v>140</v>
      </c>
      <c r="D55" s="13"/>
      <c r="E55" s="13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8">
        <f t="shared" si="6"/>
        <v>0</v>
      </c>
    </row>
    <row r="56" spans="1:21" s="119" customFormat="1" ht="14.4" customHeight="1" x14ac:dyDescent="0.3">
      <c r="A56" s="168"/>
      <c r="B56" s="168"/>
      <c r="C56" s="169" t="s">
        <v>141</v>
      </c>
      <c r="D56" s="168"/>
      <c r="E56" s="168"/>
      <c r="F56" s="170">
        <f>SUM(F41:F55)</f>
        <v>-8250</v>
      </c>
      <c r="G56" s="170">
        <f>SUM(G41:G55)</f>
        <v>-8250</v>
      </c>
      <c r="H56" s="170">
        <f t="shared" ref="H56:Q56" si="7">SUM(H41:H55)</f>
        <v>-8250</v>
      </c>
      <c r="I56" s="170">
        <f t="shared" si="7"/>
        <v>-8250</v>
      </c>
      <c r="J56" s="170">
        <f t="shared" si="7"/>
        <v>-8250</v>
      </c>
      <c r="K56" s="170">
        <f t="shared" si="7"/>
        <v>-8250</v>
      </c>
      <c r="L56" s="170">
        <f t="shared" si="7"/>
        <v>-8250</v>
      </c>
      <c r="M56" s="170">
        <f t="shared" si="7"/>
        <v>-8250</v>
      </c>
      <c r="N56" s="170">
        <f t="shared" si="7"/>
        <v>-8250</v>
      </c>
      <c r="O56" s="170">
        <f t="shared" si="7"/>
        <v>-8250</v>
      </c>
      <c r="P56" s="170">
        <f t="shared" si="7"/>
        <v>-8250</v>
      </c>
      <c r="Q56" s="170">
        <f t="shared" si="7"/>
        <v>-8250</v>
      </c>
      <c r="R56" s="170"/>
      <c r="S56" s="170"/>
      <c r="T56" s="170"/>
      <c r="U56" s="162">
        <f>SUM(F56:Q56)</f>
        <v>-99000</v>
      </c>
    </row>
    <row r="57" spans="1:21" s="119" customFormat="1" ht="14.4" customHeight="1" x14ac:dyDescent="0.3">
      <c r="A57" s="171"/>
      <c r="B57" s="171"/>
      <c r="C57" s="172" t="s">
        <v>10</v>
      </c>
      <c r="D57" s="171"/>
      <c r="E57" s="171"/>
      <c r="F57" s="173">
        <f>F17+F18+F37+F56</f>
        <v>931153</v>
      </c>
      <c r="G57" s="173">
        <f>G17+G18+G37+G56</f>
        <v>937668</v>
      </c>
      <c r="H57" s="173">
        <f t="shared" ref="H57:Q57" si="8">H17+H18+H37+H56</f>
        <v>956598</v>
      </c>
      <c r="I57" s="173">
        <f t="shared" si="8"/>
        <v>962408</v>
      </c>
      <c r="J57" s="173">
        <f t="shared" si="8"/>
        <v>968923</v>
      </c>
      <c r="K57" s="173">
        <f t="shared" si="8"/>
        <v>974588</v>
      </c>
      <c r="L57" s="173">
        <f t="shared" si="8"/>
        <v>990848</v>
      </c>
      <c r="M57" s="173">
        <f t="shared" si="8"/>
        <v>996983</v>
      </c>
      <c r="N57" s="173">
        <f t="shared" si="8"/>
        <v>1020698</v>
      </c>
      <c r="O57" s="173">
        <f t="shared" si="8"/>
        <v>1027213</v>
      </c>
      <c r="P57" s="173">
        <f t="shared" si="8"/>
        <v>1034108</v>
      </c>
      <c r="Q57" s="173">
        <f t="shared" si="8"/>
        <v>1054137</v>
      </c>
      <c r="R57" s="173"/>
      <c r="S57" s="173"/>
      <c r="T57" s="173"/>
      <c r="U57" s="156">
        <f>SUM(F57:Q57)</f>
        <v>11855325</v>
      </c>
    </row>
    <row r="58" spans="1:21" s="119" customFormat="1" ht="14.4" customHeight="1" x14ac:dyDescent="0.3">
      <c r="A58" s="117"/>
      <c r="B58" s="117"/>
      <c r="C58" s="146" t="s">
        <v>142</v>
      </c>
      <c r="D58" s="117"/>
      <c r="E58" s="117"/>
      <c r="F58" s="382">
        <v>-1756</v>
      </c>
      <c r="G58" s="382">
        <v>-1756</v>
      </c>
      <c r="H58" s="382">
        <v>-1756</v>
      </c>
      <c r="I58" s="382">
        <v>-1756</v>
      </c>
      <c r="J58" s="382">
        <v>-1756</v>
      </c>
      <c r="K58" s="382">
        <v>-1756</v>
      </c>
      <c r="L58" s="382">
        <v>-1756</v>
      </c>
      <c r="M58" s="382">
        <v>-1800</v>
      </c>
      <c r="N58" s="382">
        <v>-1800</v>
      </c>
      <c r="O58" s="382">
        <v>-1800</v>
      </c>
      <c r="P58" s="382">
        <v>-1800</v>
      </c>
      <c r="Q58" s="382">
        <v>-1800</v>
      </c>
      <c r="R58" s="381"/>
      <c r="S58" s="381"/>
      <c r="T58" s="381"/>
      <c r="U58" s="382">
        <f>SUM(F58:Q58)</f>
        <v>-21292</v>
      </c>
    </row>
    <row r="59" spans="1:21" s="119" customFormat="1" ht="25.05" customHeight="1" x14ac:dyDescent="0.3">
      <c r="A59" s="117"/>
      <c r="B59" s="117"/>
      <c r="C59" s="146" t="s">
        <v>12</v>
      </c>
      <c r="D59" s="117"/>
      <c r="E59" s="117"/>
      <c r="F59" s="382">
        <f>F57+F58</f>
        <v>929397</v>
      </c>
      <c r="G59" s="382">
        <f t="shared" ref="G59:Q59" si="9">G57+G58</f>
        <v>935912</v>
      </c>
      <c r="H59" s="382">
        <f t="shared" si="9"/>
        <v>954842</v>
      </c>
      <c r="I59" s="382">
        <f t="shared" si="9"/>
        <v>960652</v>
      </c>
      <c r="J59" s="382">
        <f t="shared" si="9"/>
        <v>967167</v>
      </c>
      <c r="K59" s="382">
        <f t="shared" si="9"/>
        <v>972832</v>
      </c>
      <c r="L59" s="382">
        <f t="shared" si="9"/>
        <v>989092</v>
      </c>
      <c r="M59" s="382">
        <f t="shared" si="9"/>
        <v>995183</v>
      </c>
      <c r="N59" s="382">
        <f t="shared" si="9"/>
        <v>1018898</v>
      </c>
      <c r="O59" s="382">
        <f t="shared" si="9"/>
        <v>1025413</v>
      </c>
      <c r="P59" s="382">
        <f t="shared" si="9"/>
        <v>1032308</v>
      </c>
      <c r="Q59" s="382">
        <f t="shared" si="9"/>
        <v>1052337</v>
      </c>
      <c r="R59" s="382"/>
      <c r="S59" s="382"/>
      <c r="T59" s="382"/>
      <c r="U59" s="382">
        <f t="shared" ref="U59:U62" si="10">SUM(F59:Q59)</f>
        <v>11834033</v>
      </c>
    </row>
    <row r="60" spans="1:21" s="119" customFormat="1" ht="25.05" customHeight="1" x14ac:dyDescent="0.3">
      <c r="A60" s="117"/>
      <c r="B60" s="117"/>
      <c r="C60" s="147" t="s">
        <v>143</v>
      </c>
      <c r="D60" s="148"/>
      <c r="E60" s="117"/>
      <c r="F60" s="382">
        <f>('BS 2028'!F27*0.2)</f>
        <v>0</v>
      </c>
      <c r="G60" s="382">
        <f>('BS 2028'!G27*0.2)</f>
        <v>0</v>
      </c>
      <c r="H60" s="382">
        <f>('BS 2028'!H27*0.2)</f>
        <v>0</v>
      </c>
      <c r="I60" s="382">
        <f>('BS 2028'!I27*0.2)</f>
        <v>0</v>
      </c>
      <c r="J60" s="382">
        <f>('BS 2028'!J27*0.2)</f>
        <v>0</v>
      </c>
      <c r="K60" s="382">
        <f>('BS 2028'!K27*0.2)</f>
        <v>0</v>
      </c>
      <c r="L60" s="382">
        <f>('BS 2028'!L27*0.2)</f>
        <v>0</v>
      </c>
      <c r="M60" s="382">
        <f>('BS 2028'!M27*0.2)</f>
        <v>0</v>
      </c>
      <c r="N60" s="382">
        <f>('BS 2028'!N27*0.2)</f>
        <v>0</v>
      </c>
      <c r="O60" s="382">
        <f>('BS 2028'!O27*0.2)</f>
        <v>0</v>
      </c>
      <c r="P60" s="382">
        <f>('BS 2028'!P27*0.2)</f>
        <v>0</v>
      </c>
      <c r="Q60" s="382">
        <f>('BS 2028'!Q27*0.2)</f>
        <v>0</v>
      </c>
      <c r="R60" s="382"/>
      <c r="S60" s="382"/>
      <c r="T60" s="382"/>
      <c r="U60" s="382">
        <f t="shared" si="10"/>
        <v>0</v>
      </c>
    </row>
    <row r="61" spans="1:21" s="119" customFormat="1" ht="25.05" customHeight="1" x14ac:dyDescent="0.3">
      <c r="A61" s="117"/>
      <c r="B61" s="117"/>
      <c r="C61" s="146" t="s">
        <v>14</v>
      </c>
      <c r="D61" s="117"/>
      <c r="E61" s="117"/>
      <c r="F61" s="382">
        <f>F57</f>
        <v>931153</v>
      </c>
      <c r="G61" s="382">
        <f>G57</f>
        <v>937668</v>
      </c>
      <c r="H61" s="382">
        <f t="shared" ref="H61:Q61" si="11">H57</f>
        <v>956598</v>
      </c>
      <c r="I61" s="382">
        <f t="shared" si="11"/>
        <v>962408</v>
      </c>
      <c r="J61" s="382">
        <f t="shared" si="11"/>
        <v>968923</v>
      </c>
      <c r="K61" s="382">
        <f t="shared" si="11"/>
        <v>974588</v>
      </c>
      <c r="L61" s="382">
        <f t="shared" si="11"/>
        <v>990848</v>
      </c>
      <c r="M61" s="382">
        <f t="shared" si="11"/>
        <v>996983</v>
      </c>
      <c r="N61" s="382">
        <f t="shared" si="11"/>
        <v>1020698</v>
      </c>
      <c r="O61" s="382">
        <f t="shared" si="11"/>
        <v>1027213</v>
      </c>
      <c r="P61" s="382">
        <f t="shared" si="11"/>
        <v>1034108</v>
      </c>
      <c r="Q61" s="382">
        <f t="shared" si="11"/>
        <v>1054137</v>
      </c>
      <c r="R61" s="382"/>
      <c r="S61" s="382"/>
      <c r="T61" s="382"/>
      <c r="U61" s="382">
        <f t="shared" si="10"/>
        <v>11855325</v>
      </c>
    </row>
    <row r="62" spans="1:21" s="119" customFormat="1" ht="25.05" customHeight="1" x14ac:dyDescent="0.3">
      <c r="A62" s="117"/>
      <c r="B62" s="117"/>
      <c r="C62" s="147" t="s">
        <v>15</v>
      </c>
      <c r="D62" s="117"/>
      <c r="E62" s="117"/>
      <c r="F62" s="382">
        <f>(F61*0.2)*-1</f>
        <v>-186230.6</v>
      </c>
      <c r="G62" s="382">
        <f t="shared" ref="G62:Q62" si="12">(G61*0.2)*-1</f>
        <v>-187533.6</v>
      </c>
      <c r="H62" s="382">
        <f t="shared" si="12"/>
        <v>-191319.6</v>
      </c>
      <c r="I62" s="382">
        <f t="shared" si="12"/>
        <v>-192481.6</v>
      </c>
      <c r="J62" s="382">
        <f t="shared" si="12"/>
        <v>-193784.6</v>
      </c>
      <c r="K62" s="382">
        <f t="shared" si="12"/>
        <v>-194917.6</v>
      </c>
      <c r="L62" s="382">
        <f t="shared" si="12"/>
        <v>-198169.60000000001</v>
      </c>
      <c r="M62" s="382">
        <f t="shared" si="12"/>
        <v>-199396.6</v>
      </c>
      <c r="N62" s="382">
        <f t="shared" si="12"/>
        <v>-204139.6</v>
      </c>
      <c r="O62" s="382">
        <f t="shared" si="12"/>
        <v>-205442.6</v>
      </c>
      <c r="P62" s="382">
        <f t="shared" si="12"/>
        <v>-206821.6</v>
      </c>
      <c r="Q62" s="382">
        <f t="shared" si="12"/>
        <v>-210827.40000000002</v>
      </c>
      <c r="R62" s="382"/>
      <c r="S62" s="382"/>
      <c r="T62" s="382"/>
      <c r="U62" s="382">
        <f t="shared" si="10"/>
        <v>-2371065.0000000005</v>
      </c>
    </row>
    <row r="63" spans="1:21" s="119" customFormat="1" ht="14.4" customHeight="1" x14ac:dyDescent="0.3">
      <c r="A63" s="174"/>
      <c r="B63" s="174"/>
      <c r="C63" s="175" t="s">
        <v>16</v>
      </c>
      <c r="D63" s="174"/>
      <c r="E63" s="174"/>
      <c r="F63" s="311">
        <f>F61+F62</f>
        <v>744922.4</v>
      </c>
      <c r="G63" s="311">
        <f>G61+G62</f>
        <v>750134.4</v>
      </c>
      <c r="H63" s="311">
        <f>H61+H62</f>
        <v>765278.4</v>
      </c>
      <c r="I63" s="311">
        <f>I61+I62</f>
        <v>769926.4</v>
      </c>
      <c r="J63" s="311">
        <f>J61+J62</f>
        <v>775138.4</v>
      </c>
      <c r="K63" s="311">
        <f t="shared" ref="K63:M63" si="13">K61+K62</f>
        <v>779670.4</v>
      </c>
      <c r="L63" s="311">
        <f t="shared" si="13"/>
        <v>792678.40000000002</v>
      </c>
      <c r="M63" s="311">
        <f t="shared" si="13"/>
        <v>797586.4</v>
      </c>
      <c r="N63" s="311">
        <f>N61+N62</f>
        <v>816558.4</v>
      </c>
      <c r="O63" s="311">
        <f>O61+O62</f>
        <v>821770.4</v>
      </c>
      <c r="P63" s="311">
        <f t="shared" ref="P63" si="14">P61+P62</f>
        <v>827286.4</v>
      </c>
      <c r="Q63" s="311">
        <f t="shared" ref="Q63" si="15">Q61+Q62</f>
        <v>843309.6</v>
      </c>
      <c r="R63" s="311"/>
      <c r="S63" s="311"/>
      <c r="T63" s="312"/>
      <c r="U63" s="313">
        <f>SUM(F63:Q63)</f>
        <v>9484260.0000000019</v>
      </c>
    </row>
    <row r="64" spans="1:21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</sheetData>
  <phoneticPr fontId="7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01416-8E71-4F03-B75B-AC895B084448}">
  <sheetPr codeName="Sheet34"/>
  <dimension ref="A2:V60"/>
  <sheetViews>
    <sheetView showGridLines="0" workbookViewId="0">
      <selection activeCell="B12" sqref="B12:B16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9" t="s">
        <v>149</v>
      </c>
      <c r="C2" s="138"/>
      <c r="D2" s="13"/>
    </row>
    <row r="3" spans="1:22" x14ac:dyDescent="0.3">
      <c r="A3" s="137" t="s">
        <v>150</v>
      </c>
      <c r="C3" s="23"/>
    </row>
    <row r="4" spans="1:22" x14ac:dyDescent="0.3">
      <c r="A4" s="137" t="s">
        <v>151</v>
      </c>
      <c r="C4" s="23"/>
    </row>
    <row r="6" spans="1:22" x14ac:dyDescent="0.3">
      <c r="B6" s="23" t="s">
        <v>197</v>
      </c>
    </row>
    <row r="7" spans="1:22" x14ac:dyDescent="0.3">
      <c r="A7" s="149"/>
      <c r="B7" s="181" t="s">
        <v>70</v>
      </c>
      <c r="C7" s="154"/>
      <c r="D7" s="154"/>
      <c r="E7" s="154"/>
      <c r="F7" s="154"/>
      <c r="G7" s="182">
        <v>46753</v>
      </c>
      <c r="H7" s="182">
        <v>46784</v>
      </c>
      <c r="I7" s="182">
        <v>46813</v>
      </c>
      <c r="J7" s="182">
        <v>46844</v>
      </c>
      <c r="K7" s="182">
        <v>46874</v>
      </c>
      <c r="L7" s="182">
        <v>46905</v>
      </c>
      <c r="M7" s="182">
        <v>46935</v>
      </c>
      <c r="N7" s="182">
        <v>46966</v>
      </c>
      <c r="O7" s="182">
        <v>46997</v>
      </c>
      <c r="P7" s="182">
        <v>47027</v>
      </c>
      <c r="Q7" s="182">
        <v>47058</v>
      </c>
      <c r="R7" s="182">
        <v>47088</v>
      </c>
      <c r="S7" s="182"/>
      <c r="T7" s="182"/>
      <c r="U7" s="182"/>
      <c r="V7" s="183" t="s">
        <v>78</v>
      </c>
    </row>
    <row r="9" spans="1:22" x14ac:dyDescent="0.3">
      <c r="B9" s="23" t="s">
        <v>149</v>
      </c>
    </row>
    <row r="10" spans="1:22" x14ac:dyDescent="0.3">
      <c r="A10" s="154"/>
      <c r="B10" s="181" t="s">
        <v>152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</row>
    <row r="11" spans="1:22" x14ac:dyDescent="0.3">
      <c r="B11" s="356" t="s">
        <v>44</v>
      </c>
      <c r="C11" s="357"/>
      <c r="D11" s="357"/>
      <c r="E11" s="357"/>
      <c r="F11" s="357"/>
      <c r="G11" s="223">
        <f t="shared" ref="G11:R11" si="0">SUM(G12:G17)</f>
        <v>1000660</v>
      </c>
      <c r="H11" s="223">
        <f t="shared" si="0"/>
        <v>1007175</v>
      </c>
      <c r="I11" s="223">
        <f t="shared" si="0"/>
        <v>1032005</v>
      </c>
      <c r="J11" s="223">
        <f t="shared" si="0"/>
        <v>1037815</v>
      </c>
      <c r="K11" s="223">
        <f t="shared" si="0"/>
        <v>1044330</v>
      </c>
      <c r="L11" s="223">
        <f t="shared" si="0"/>
        <v>1049995</v>
      </c>
      <c r="M11" s="223">
        <f t="shared" si="0"/>
        <v>1066255</v>
      </c>
      <c r="N11" s="223">
        <f t="shared" si="0"/>
        <v>1072390</v>
      </c>
      <c r="O11" s="223">
        <f t="shared" si="0"/>
        <v>1096105</v>
      </c>
      <c r="P11" s="223">
        <f t="shared" si="0"/>
        <v>1102620</v>
      </c>
      <c r="Q11" s="223">
        <f t="shared" si="0"/>
        <v>1109515</v>
      </c>
      <c r="R11" s="223">
        <f t="shared" si="0"/>
        <v>1118310</v>
      </c>
      <c r="S11" s="223"/>
      <c r="T11" s="223"/>
      <c r="U11" s="223"/>
      <c r="V11" s="223">
        <f>SUM(G11:R11)</f>
        <v>12737175</v>
      </c>
    </row>
    <row r="12" spans="1:22" x14ac:dyDescent="0.3">
      <c r="B12" s="145" t="s">
        <v>337</v>
      </c>
      <c r="C12" s="357"/>
      <c r="D12" s="357"/>
      <c r="E12" s="357"/>
      <c r="F12" s="357"/>
      <c r="G12" s="223">
        <f>'IS 2028'!F12</f>
        <v>21195</v>
      </c>
      <c r="H12" s="223">
        <f>'IS 2028'!G12</f>
        <v>21330</v>
      </c>
      <c r="I12" s="223">
        <f>'IS 2028'!H12</f>
        <v>21870</v>
      </c>
      <c r="J12" s="223">
        <f>'IS 2028'!I12</f>
        <v>21870</v>
      </c>
      <c r="K12" s="223">
        <f>'IS 2028'!J12</f>
        <v>22005</v>
      </c>
      <c r="L12" s="223">
        <f>'IS 2028'!K12</f>
        <v>22140</v>
      </c>
      <c r="M12" s="223">
        <f>'IS 2028'!L12</f>
        <v>22545</v>
      </c>
      <c r="N12" s="223">
        <f>'IS 2028'!M12</f>
        <v>22680</v>
      </c>
      <c r="O12" s="223">
        <f>'IS 2028'!N12</f>
        <v>23220</v>
      </c>
      <c r="P12" s="223">
        <f>'IS 2028'!O12</f>
        <v>23355</v>
      </c>
      <c r="Q12" s="223">
        <f>'IS 2028'!P12</f>
        <v>23490</v>
      </c>
      <c r="R12" s="223">
        <f>'IS 2028'!Q12</f>
        <v>23625</v>
      </c>
      <c r="S12" s="223"/>
      <c r="T12" s="223"/>
      <c r="U12" s="223"/>
      <c r="V12" s="357"/>
    </row>
    <row r="13" spans="1:22" x14ac:dyDescent="0.3">
      <c r="B13" s="145" t="s">
        <v>338</v>
      </c>
      <c r="C13" s="357"/>
      <c r="D13" s="357"/>
      <c r="E13" s="357"/>
      <c r="F13" s="357"/>
      <c r="G13" s="223">
        <f>'IS 2028'!F13</f>
        <v>29830</v>
      </c>
      <c r="H13" s="223">
        <f>'IS 2028'!G13</f>
        <v>30020</v>
      </c>
      <c r="I13" s="223">
        <f>'IS 2028'!H13</f>
        <v>30780</v>
      </c>
      <c r="J13" s="223">
        <f>'IS 2028'!I13</f>
        <v>30780</v>
      </c>
      <c r="K13" s="223">
        <f>'IS 2028'!J13</f>
        <v>30970</v>
      </c>
      <c r="L13" s="223">
        <f>'IS 2028'!K13</f>
        <v>31160</v>
      </c>
      <c r="M13" s="223">
        <f>'IS 2028'!L13</f>
        <v>31730</v>
      </c>
      <c r="N13" s="223">
        <f>'IS 2028'!M13</f>
        <v>31920</v>
      </c>
      <c r="O13" s="223">
        <f>'IS 2028'!N13</f>
        <v>32680</v>
      </c>
      <c r="P13" s="223">
        <f>'IS 2028'!O13</f>
        <v>32870</v>
      </c>
      <c r="Q13" s="223">
        <f>'IS 2028'!P13</f>
        <v>33060</v>
      </c>
      <c r="R13" s="223">
        <f>'IS 2028'!Q13</f>
        <v>33250</v>
      </c>
      <c r="S13" s="223"/>
      <c r="T13" s="223"/>
      <c r="U13" s="223"/>
      <c r="V13" s="357"/>
    </row>
    <row r="14" spans="1:22" x14ac:dyDescent="0.3">
      <c r="B14" s="145" t="s">
        <v>339</v>
      </c>
      <c r="C14" s="357"/>
      <c r="D14" s="357"/>
      <c r="E14" s="357"/>
      <c r="F14" s="357"/>
      <c r="G14" s="223">
        <f>'IS 2028'!F14</f>
        <v>82945</v>
      </c>
      <c r="H14" s="223">
        <f>'IS 2028'!G14</f>
        <v>83475</v>
      </c>
      <c r="I14" s="223">
        <f>'IS 2028'!H14</f>
        <v>85595</v>
      </c>
      <c r="J14" s="223">
        <f>'IS 2028'!I14</f>
        <v>86125</v>
      </c>
      <c r="K14" s="223">
        <f>'IS 2028'!J14</f>
        <v>86655</v>
      </c>
      <c r="L14" s="223">
        <f>'IS 2028'!K14</f>
        <v>87185</v>
      </c>
      <c r="M14" s="223">
        <f>'IS 2028'!L14</f>
        <v>88510</v>
      </c>
      <c r="N14" s="223">
        <f>'IS 2028'!M14</f>
        <v>89040</v>
      </c>
      <c r="O14" s="223">
        <f>'IS 2028'!N14</f>
        <v>90895</v>
      </c>
      <c r="P14" s="223">
        <f>'IS 2028'!O14</f>
        <v>91425</v>
      </c>
      <c r="Q14" s="223">
        <f>'IS 2028'!P14</f>
        <v>91955</v>
      </c>
      <c r="R14" s="223">
        <f>'IS 2028'!Q14</f>
        <v>92485</v>
      </c>
      <c r="S14" s="223"/>
      <c r="T14" s="223"/>
      <c r="U14" s="223"/>
      <c r="V14" s="357"/>
    </row>
    <row r="15" spans="1:22" x14ac:dyDescent="0.3">
      <c r="B15" s="145" t="s">
        <v>340</v>
      </c>
      <c r="C15" s="357"/>
      <c r="D15" s="357"/>
      <c r="E15" s="357"/>
      <c r="F15" s="357"/>
      <c r="G15" s="223">
        <f>'IS 2028'!F15</f>
        <v>277780</v>
      </c>
      <c r="H15" s="223">
        <f>'IS 2028'!G15</f>
        <v>279680</v>
      </c>
      <c r="I15" s="223">
        <f>'IS 2028'!H15</f>
        <v>286520</v>
      </c>
      <c r="J15" s="223">
        <f>'IS 2028'!I15</f>
        <v>288040</v>
      </c>
      <c r="K15" s="223">
        <f>'IS 2028'!J15</f>
        <v>289940</v>
      </c>
      <c r="L15" s="223">
        <f>'IS 2028'!K15</f>
        <v>291460</v>
      </c>
      <c r="M15" s="223">
        <f>'IS 2028'!L15</f>
        <v>296020</v>
      </c>
      <c r="N15" s="223">
        <f>'IS 2028'!M15</f>
        <v>297540</v>
      </c>
      <c r="O15" s="223">
        <f>'IS 2028'!N15</f>
        <v>304000</v>
      </c>
      <c r="P15" s="223">
        <f>'IS 2028'!O15</f>
        <v>305900</v>
      </c>
      <c r="Q15" s="223">
        <f>'IS 2028'!P15</f>
        <v>308180</v>
      </c>
      <c r="R15" s="223">
        <f>'IS 2028'!Q15</f>
        <v>312360</v>
      </c>
      <c r="S15" s="223"/>
      <c r="T15" s="223"/>
      <c r="U15" s="223"/>
      <c r="V15" s="357"/>
    </row>
    <row r="16" spans="1:22" x14ac:dyDescent="0.3">
      <c r="B16" s="145" t="s">
        <v>341</v>
      </c>
      <c r="C16" s="357"/>
      <c r="D16" s="357"/>
      <c r="E16" s="357"/>
      <c r="F16" s="357"/>
      <c r="G16" s="223">
        <f>'IS 2028'!F16</f>
        <v>588910</v>
      </c>
      <c r="H16" s="223">
        <f>'IS 2028'!G16</f>
        <v>592670</v>
      </c>
      <c r="I16" s="223">
        <f>'IS 2028'!H16</f>
        <v>607240</v>
      </c>
      <c r="J16" s="223">
        <f>'IS 2028'!I16</f>
        <v>611000</v>
      </c>
      <c r="K16" s="223">
        <f>'IS 2028'!J16</f>
        <v>614760</v>
      </c>
      <c r="L16" s="223">
        <f>'IS 2028'!K16</f>
        <v>618050</v>
      </c>
      <c r="M16" s="223">
        <f>'IS 2028'!L16</f>
        <v>627450</v>
      </c>
      <c r="N16" s="223">
        <f>'IS 2028'!M16</f>
        <v>631210</v>
      </c>
      <c r="O16" s="223">
        <f>'IS 2028'!N16</f>
        <v>645310</v>
      </c>
      <c r="P16" s="223">
        <f>'IS 2028'!O16</f>
        <v>649070</v>
      </c>
      <c r="Q16" s="223">
        <f>'IS 2028'!P16</f>
        <v>652830</v>
      </c>
      <c r="R16" s="223">
        <f>'IS 2028'!Q16</f>
        <v>656590</v>
      </c>
      <c r="S16" s="223"/>
      <c r="T16" s="223"/>
      <c r="U16" s="223"/>
      <c r="V16" s="357"/>
    </row>
    <row r="17" spans="1:22" x14ac:dyDescent="0.3">
      <c r="B17" s="360"/>
      <c r="C17" s="357"/>
      <c r="D17" s="357"/>
      <c r="E17" s="357"/>
      <c r="F17" s="357"/>
      <c r="G17" s="223"/>
      <c r="H17" s="223"/>
      <c r="I17" s="223"/>
      <c r="J17" s="223"/>
      <c r="K17" s="223"/>
      <c r="L17" s="223"/>
      <c r="M17" s="223"/>
      <c r="N17" s="223"/>
      <c r="O17" s="223"/>
      <c r="P17" s="357"/>
      <c r="Q17" s="223"/>
      <c r="R17" s="223"/>
      <c r="S17" s="223"/>
      <c r="T17" s="223"/>
      <c r="U17" s="223"/>
      <c r="V17" s="357"/>
    </row>
    <row r="18" spans="1:22" x14ac:dyDescent="0.3">
      <c r="B18" s="356" t="s">
        <v>45</v>
      </c>
      <c r="C18" s="357"/>
      <c r="D18" s="357"/>
      <c r="E18" s="357"/>
      <c r="F18" s="357"/>
      <c r="G18" s="223">
        <f>'CF 2027'!S18</f>
        <v>-625</v>
      </c>
      <c r="H18" s="223">
        <f>'CF 2027'!T18</f>
        <v>-625</v>
      </c>
      <c r="I18" s="223">
        <f>'CF 2027'!U18</f>
        <v>-625</v>
      </c>
      <c r="J18" s="223">
        <v>-625</v>
      </c>
      <c r="K18" s="223">
        <v>-625</v>
      </c>
      <c r="L18" s="223">
        <v>-625</v>
      </c>
      <c r="M18" s="223">
        <v>-625</v>
      </c>
      <c r="N18" s="223">
        <v>-625</v>
      </c>
      <c r="O18" s="223">
        <v>-625</v>
      </c>
      <c r="P18" s="223">
        <v>-625</v>
      </c>
      <c r="Q18" s="223">
        <v>-625</v>
      </c>
      <c r="R18" s="223">
        <v>-625</v>
      </c>
      <c r="S18" s="223"/>
      <c r="T18" s="223"/>
      <c r="U18" s="223"/>
      <c r="V18" s="223">
        <f>SUM(G18:R18)</f>
        <v>-7500</v>
      </c>
    </row>
    <row r="19" spans="1:22" x14ac:dyDescent="0.3">
      <c r="B19" s="356" t="s">
        <v>153</v>
      </c>
      <c r="C19" s="357"/>
      <c r="D19" s="357"/>
      <c r="E19" s="357"/>
      <c r="F19" s="357"/>
      <c r="G19" s="223">
        <f>'IS 2028'!F60</f>
        <v>0</v>
      </c>
      <c r="H19" s="223">
        <f>'IS 2028'!G60</f>
        <v>0</v>
      </c>
      <c r="I19" s="223">
        <f>'IS 2028'!H60</f>
        <v>0</v>
      </c>
      <c r="J19" s="223">
        <f>'IS 2028'!I60</f>
        <v>0</v>
      </c>
      <c r="K19" s="223">
        <f>'IS 2028'!J60</f>
        <v>0</v>
      </c>
      <c r="L19" s="223">
        <f>'IS 2028'!K60</f>
        <v>0</v>
      </c>
      <c r="M19" s="223">
        <f>'IS 2028'!L60</f>
        <v>0</v>
      </c>
      <c r="N19" s="223">
        <f>'IS 2028'!M60</f>
        <v>0</v>
      </c>
      <c r="O19" s="223">
        <f>'IS 2028'!N60</f>
        <v>0</v>
      </c>
      <c r="P19" s="223">
        <f>'IS 2028'!O60</f>
        <v>0</v>
      </c>
      <c r="Q19" s="223">
        <f>'IS 2028'!P60</f>
        <v>0</v>
      </c>
      <c r="R19" s="223">
        <f>'IS 2028'!Q60</f>
        <v>0</v>
      </c>
      <c r="S19" s="223"/>
      <c r="T19" s="223"/>
      <c r="U19" s="223"/>
      <c r="V19" s="357"/>
    </row>
    <row r="20" spans="1:22" x14ac:dyDescent="0.3">
      <c r="B20" s="356" t="s">
        <v>154</v>
      </c>
      <c r="C20" s="357"/>
      <c r="D20" s="357"/>
      <c r="E20" s="357"/>
      <c r="F20" s="357"/>
      <c r="G20" s="223">
        <f>'IS 2028'!F62</f>
        <v>-186230.6</v>
      </c>
      <c r="H20" s="223">
        <f>'IS 2028'!G62</f>
        <v>-187533.6</v>
      </c>
      <c r="I20" s="223">
        <f>'IS 2028'!H62</f>
        <v>-191319.6</v>
      </c>
      <c r="J20" s="223">
        <f>'IS 2028'!I62</f>
        <v>-192481.6</v>
      </c>
      <c r="K20" s="223">
        <f>'IS 2028'!J62</f>
        <v>-193784.6</v>
      </c>
      <c r="L20" s="223">
        <f>'IS 2028'!K62</f>
        <v>-194917.6</v>
      </c>
      <c r="M20" s="223">
        <f>'IS 2028'!L62</f>
        <v>-198169.60000000001</v>
      </c>
      <c r="N20" s="223">
        <f>'IS 2028'!M62</f>
        <v>-199396.6</v>
      </c>
      <c r="O20" s="223">
        <f>'IS 2028'!N62</f>
        <v>-204139.6</v>
      </c>
      <c r="P20" s="223">
        <f>'IS 2028'!O62</f>
        <v>-205442.6</v>
      </c>
      <c r="Q20" s="223">
        <f>'IS 2028'!P62</f>
        <v>-206821.6</v>
      </c>
      <c r="R20" s="223">
        <f>'IS 2028'!Q62</f>
        <v>-210827.40000000002</v>
      </c>
      <c r="S20" s="357"/>
      <c r="T20" s="357"/>
      <c r="U20" s="357"/>
      <c r="V20" s="357"/>
    </row>
    <row r="21" spans="1:22" x14ac:dyDescent="0.3">
      <c r="A21" s="154"/>
      <c r="B21" s="184" t="s">
        <v>155</v>
      </c>
      <c r="C21" s="154"/>
      <c r="D21" s="154"/>
      <c r="E21" s="154"/>
      <c r="F21" s="154"/>
      <c r="G21" s="162">
        <f t="shared" ref="G21:R21" si="1">G11</f>
        <v>1000660</v>
      </c>
      <c r="H21" s="162">
        <f t="shared" si="1"/>
        <v>1007175</v>
      </c>
      <c r="I21" s="162">
        <f t="shared" si="1"/>
        <v>1032005</v>
      </c>
      <c r="J21" s="162">
        <f t="shared" si="1"/>
        <v>1037815</v>
      </c>
      <c r="K21" s="162">
        <f t="shared" si="1"/>
        <v>1044330</v>
      </c>
      <c r="L21" s="162">
        <f t="shared" si="1"/>
        <v>1049995</v>
      </c>
      <c r="M21" s="162">
        <f t="shared" si="1"/>
        <v>1066255</v>
      </c>
      <c r="N21" s="162">
        <f t="shared" si="1"/>
        <v>1072390</v>
      </c>
      <c r="O21" s="162">
        <f t="shared" si="1"/>
        <v>1096105</v>
      </c>
      <c r="P21" s="162">
        <f t="shared" si="1"/>
        <v>1102620</v>
      </c>
      <c r="Q21" s="162">
        <f t="shared" si="1"/>
        <v>1109515</v>
      </c>
      <c r="R21" s="162">
        <f t="shared" si="1"/>
        <v>1118310</v>
      </c>
      <c r="S21" s="162"/>
      <c r="T21" s="162"/>
      <c r="U21" s="162"/>
      <c r="V21" s="162">
        <f>SUM(G21:R21)</f>
        <v>12737175</v>
      </c>
    </row>
    <row r="22" spans="1:22" x14ac:dyDescent="0.3">
      <c r="A22" s="155"/>
      <c r="B22" s="210" t="s">
        <v>156</v>
      </c>
      <c r="C22" s="155"/>
      <c r="D22" s="155"/>
      <c r="E22" s="155"/>
      <c r="F22" s="155"/>
      <c r="G22" s="156">
        <f>SUM(G18:G20)</f>
        <v>-186855.6</v>
      </c>
      <c r="H22" s="156">
        <f t="shared" ref="H22:R22" si="2">SUM(H18:H20)</f>
        <v>-188158.6</v>
      </c>
      <c r="I22" s="156">
        <f t="shared" si="2"/>
        <v>-191944.6</v>
      </c>
      <c r="J22" s="156">
        <f t="shared" si="2"/>
        <v>-193106.6</v>
      </c>
      <c r="K22" s="156">
        <f t="shared" si="2"/>
        <v>-194409.60000000001</v>
      </c>
      <c r="L22" s="156">
        <f t="shared" si="2"/>
        <v>-195542.6</v>
      </c>
      <c r="M22" s="156">
        <f t="shared" si="2"/>
        <v>-198794.6</v>
      </c>
      <c r="N22" s="156">
        <f t="shared" si="2"/>
        <v>-200021.6</v>
      </c>
      <c r="O22" s="156">
        <f t="shared" si="2"/>
        <v>-204764.6</v>
      </c>
      <c r="P22" s="156">
        <f t="shared" si="2"/>
        <v>-206067.6</v>
      </c>
      <c r="Q22" s="156">
        <f t="shared" si="2"/>
        <v>-207446.6</v>
      </c>
      <c r="R22" s="156">
        <f t="shared" si="2"/>
        <v>-211452.40000000002</v>
      </c>
      <c r="S22" s="156"/>
      <c r="T22" s="156"/>
      <c r="U22" s="156"/>
      <c r="V22" s="156">
        <f>SUM(G22:R22)</f>
        <v>-2378565.0000000005</v>
      </c>
    </row>
    <row r="23" spans="1:22" x14ac:dyDescent="0.3">
      <c r="B23" s="157" t="s">
        <v>157</v>
      </c>
      <c r="C23" s="157"/>
      <c r="D23" s="157"/>
      <c r="E23" s="157"/>
      <c r="F23" s="157"/>
      <c r="G23" s="158">
        <f>SUM(G21:G22)</f>
        <v>813804.4</v>
      </c>
      <c r="H23" s="158">
        <f t="shared" ref="H23:R23" si="3">SUM(H21:H22)</f>
        <v>819016.4</v>
      </c>
      <c r="I23" s="158">
        <f t="shared" si="3"/>
        <v>840060.4</v>
      </c>
      <c r="J23" s="158">
        <f t="shared" si="3"/>
        <v>844708.4</v>
      </c>
      <c r="K23" s="158">
        <f t="shared" si="3"/>
        <v>849920.4</v>
      </c>
      <c r="L23" s="158">
        <f t="shared" si="3"/>
        <v>854452.4</v>
      </c>
      <c r="M23" s="158">
        <f t="shared" si="3"/>
        <v>867460.4</v>
      </c>
      <c r="N23" s="158">
        <f t="shared" si="3"/>
        <v>872368.4</v>
      </c>
      <c r="O23" s="158">
        <f t="shared" si="3"/>
        <v>891340.4</v>
      </c>
      <c r="P23" s="158">
        <f t="shared" si="3"/>
        <v>896552.4</v>
      </c>
      <c r="Q23" s="158">
        <f t="shared" si="3"/>
        <v>902068.4</v>
      </c>
      <c r="R23" s="158">
        <f t="shared" si="3"/>
        <v>906857.6</v>
      </c>
      <c r="S23" s="158"/>
      <c r="T23" s="158"/>
      <c r="U23" s="158"/>
      <c r="V23" s="158">
        <f>SUM(G23:R23)</f>
        <v>10358610.000000002</v>
      </c>
    </row>
    <row r="24" spans="1:22" x14ac:dyDescent="0.3">
      <c r="B24" s="157" t="s">
        <v>199</v>
      </c>
      <c r="C24" s="157"/>
      <c r="D24" s="157"/>
      <c r="E24" s="157"/>
      <c r="F24" s="157"/>
      <c r="G24" s="158">
        <f>'IS 2026'!F60+G23</f>
        <v>811954.4</v>
      </c>
      <c r="H24" s="158">
        <f>'IS 2025'!G61+H23</f>
        <v>817566.4</v>
      </c>
      <c r="I24" s="158">
        <f>'IS 2025'!H61+I23</f>
        <v>838610.4</v>
      </c>
      <c r="J24" s="158">
        <f>'IS 2025'!I61+J23</f>
        <v>843258.4</v>
      </c>
      <c r="K24" s="158">
        <f>'IS 2025'!J61+K23</f>
        <v>848470.4</v>
      </c>
      <c r="L24" s="158">
        <f>'IS 2025'!K61+L23</f>
        <v>853002.4</v>
      </c>
      <c r="M24" s="158">
        <f>'IS 2025'!L61+M23</f>
        <v>866010.4</v>
      </c>
      <c r="N24" s="158">
        <f>'IS 2025'!M61+N23</f>
        <v>870918.4</v>
      </c>
      <c r="O24" s="158">
        <f>'IS 2025'!N61+O23</f>
        <v>889890.4</v>
      </c>
      <c r="P24" s="158">
        <f>'IS 2025'!O61+P23</f>
        <v>895102.4</v>
      </c>
      <c r="Q24" s="158">
        <f>'IS 2025'!P61+Q23</f>
        <v>900618.4</v>
      </c>
      <c r="R24" s="158">
        <f>'IS 2025'!Q61+R23</f>
        <v>905007.6</v>
      </c>
      <c r="S24" s="158"/>
      <c r="T24" s="158"/>
      <c r="U24" s="158"/>
      <c r="V24" s="158"/>
    </row>
    <row r="25" spans="1:22" x14ac:dyDescent="0.3">
      <c r="B25" s="362" t="s">
        <v>158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357"/>
    </row>
    <row r="26" spans="1:22" x14ac:dyDescent="0.3">
      <c r="B26" s="364" t="s">
        <v>159</v>
      </c>
      <c r="C26" s="157"/>
      <c r="D26" s="157"/>
      <c r="E26" s="157"/>
      <c r="F26" s="157"/>
      <c r="G26" s="158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8"/>
      <c r="T26" s="157"/>
      <c r="U26" s="157"/>
      <c r="V26" s="357"/>
    </row>
    <row r="27" spans="1:22" x14ac:dyDescent="0.3">
      <c r="B27" s="365" t="s">
        <v>121</v>
      </c>
      <c r="C27" s="157"/>
      <c r="D27" s="157"/>
      <c r="E27" s="157"/>
      <c r="F27" s="157"/>
      <c r="G27" s="158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373"/>
      <c r="T27" s="157"/>
      <c r="U27" s="157"/>
      <c r="V27" s="357"/>
    </row>
    <row r="28" spans="1:22" x14ac:dyDescent="0.3">
      <c r="B28" s="364" t="s">
        <v>160</v>
      </c>
      <c r="C28" s="157"/>
      <c r="D28" s="157"/>
      <c r="E28" s="157"/>
      <c r="F28" s="157"/>
      <c r="G28" s="158">
        <f>SUM(G26:G27)</f>
        <v>0</v>
      </c>
      <c r="H28" s="158">
        <f t="shared" ref="H28:R28" si="4">SUM(H26:H27)</f>
        <v>0</v>
      </c>
      <c r="I28" s="158">
        <f t="shared" si="4"/>
        <v>0</v>
      </c>
      <c r="J28" s="158">
        <f t="shared" si="4"/>
        <v>0</v>
      </c>
      <c r="K28" s="158">
        <f t="shared" si="4"/>
        <v>0</v>
      </c>
      <c r="L28" s="158">
        <f t="shared" si="4"/>
        <v>0</v>
      </c>
      <c r="M28" s="158">
        <f t="shared" si="4"/>
        <v>0</v>
      </c>
      <c r="N28" s="158">
        <f t="shared" si="4"/>
        <v>0</v>
      </c>
      <c r="O28" s="158">
        <f t="shared" si="4"/>
        <v>0</v>
      </c>
      <c r="P28" s="158">
        <f t="shared" si="4"/>
        <v>0</v>
      </c>
      <c r="Q28" s="158">
        <f t="shared" si="4"/>
        <v>0</v>
      </c>
      <c r="R28" s="158">
        <f t="shared" si="4"/>
        <v>0</v>
      </c>
      <c r="S28" s="158"/>
      <c r="T28" s="158"/>
      <c r="U28" s="158"/>
      <c r="V28" s="357"/>
    </row>
    <row r="29" spans="1:22" x14ac:dyDescent="0.3">
      <c r="B29" s="366" t="s">
        <v>161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357"/>
    </row>
    <row r="30" spans="1:22" x14ac:dyDescent="0.3">
      <c r="B30" s="356" t="s">
        <v>162</v>
      </c>
      <c r="C30" s="357"/>
      <c r="D30" s="357"/>
      <c r="E30" s="357"/>
      <c r="F30" s="357"/>
      <c r="G30" s="223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</row>
    <row r="31" spans="1:22" x14ac:dyDescent="0.3">
      <c r="B31" s="360" t="s">
        <v>121</v>
      </c>
      <c r="C31" s="357"/>
      <c r="D31" s="357"/>
      <c r="E31" s="357"/>
      <c r="F31" s="357"/>
      <c r="G31" s="223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</row>
    <row r="32" spans="1:22" x14ac:dyDescent="0.3">
      <c r="B32" s="360" t="s">
        <v>122</v>
      </c>
      <c r="C32" s="357"/>
      <c r="D32" s="357"/>
      <c r="E32" s="357"/>
      <c r="F32" s="357"/>
      <c r="G32" s="223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</row>
    <row r="33" spans="1:22" x14ac:dyDescent="0.3">
      <c r="B33" s="360" t="s">
        <v>123</v>
      </c>
      <c r="C33" s="357"/>
      <c r="D33" s="357"/>
      <c r="E33" s="357"/>
      <c r="F33" s="357"/>
      <c r="G33" s="223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</row>
    <row r="34" spans="1:22" x14ac:dyDescent="0.3">
      <c r="B34" s="356" t="s">
        <v>163</v>
      </c>
      <c r="C34" s="357"/>
      <c r="D34" s="357"/>
      <c r="E34" s="357"/>
      <c r="F34" s="357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>
        <f>SUM(G30:R34)</f>
        <v>0</v>
      </c>
    </row>
    <row r="35" spans="1:22" x14ac:dyDescent="0.3">
      <c r="B35" s="360" t="s">
        <v>121</v>
      </c>
      <c r="C35" s="357"/>
      <c r="D35" s="357"/>
      <c r="E35" s="357"/>
      <c r="F35" s="357"/>
      <c r="G35" s="357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357"/>
    </row>
    <row r="36" spans="1:22" x14ac:dyDescent="0.3">
      <c r="B36" s="356" t="s">
        <v>164</v>
      </c>
      <c r="C36" s="357"/>
      <c r="D36" s="357"/>
      <c r="E36" s="357"/>
      <c r="F36" s="357"/>
      <c r="G36" s="223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</row>
    <row r="37" spans="1:22" x14ac:dyDescent="0.3">
      <c r="B37" s="360" t="s">
        <v>121</v>
      </c>
      <c r="C37" s="357"/>
      <c r="D37" s="357"/>
      <c r="E37" s="357"/>
      <c r="F37" s="357"/>
      <c r="G37" s="223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  <c r="S37" s="357"/>
      <c r="T37" s="357"/>
      <c r="U37" s="357"/>
      <c r="V37" s="357"/>
    </row>
    <row r="38" spans="1:22" x14ac:dyDescent="0.3">
      <c r="B38" s="356" t="s">
        <v>165</v>
      </c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  <c r="S38" s="357"/>
      <c r="T38" s="357"/>
      <c r="U38" s="357"/>
      <c r="V38" s="357"/>
    </row>
    <row r="39" spans="1:22" x14ac:dyDescent="0.3">
      <c r="B39" s="360" t="s">
        <v>121</v>
      </c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7"/>
    </row>
    <row r="40" spans="1:22" x14ac:dyDescent="0.3">
      <c r="B40" s="356" t="s">
        <v>166</v>
      </c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</row>
    <row r="41" spans="1:22" x14ac:dyDescent="0.3">
      <c r="B41" s="360" t="s">
        <v>121</v>
      </c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</row>
    <row r="42" spans="1:22" x14ac:dyDescent="0.3">
      <c r="B42" s="356" t="s">
        <v>52</v>
      </c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</row>
    <row r="43" spans="1:22" x14ac:dyDescent="0.3">
      <c r="B43" s="356" t="s">
        <v>167</v>
      </c>
      <c r="C43" s="357"/>
      <c r="D43" s="357"/>
      <c r="E43" s="357"/>
      <c r="F43" s="357"/>
      <c r="G43" s="223">
        <f>SUM(G30:G42)</f>
        <v>0</v>
      </c>
      <c r="H43" s="223">
        <f t="shared" ref="H43:R43" si="5">SUM(H30:H42)</f>
        <v>0</v>
      </c>
      <c r="I43" s="223">
        <f t="shared" si="5"/>
        <v>0</v>
      </c>
      <c r="J43" s="223">
        <f t="shared" si="5"/>
        <v>0</v>
      </c>
      <c r="K43" s="223">
        <f t="shared" si="5"/>
        <v>0</v>
      </c>
      <c r="L43" s="223">
        <f t="shared" si="5"/>
        <v>0</v>
      </c>
      <c r="M43" s="223">
        <f t="shared" si="5"/>
        <v>0</v>
      </c>
      <c r="N43" s="223">
        <f t="shared" si="5"/>
        <v>0</v>
      </c>
      <c r="O43" s="223">
        <f t="shared" si="5"/>
        <v>0</v>
      </c>
      <c r="P43" s="223">
        <f t="shared" si="5"/>
        <v>0</v>
      </c>
      <c r="Q43" s="223">
        <f t="shared" si="5"/>
        <v>0</v>
      </c>
      <c r="R43" s="223">
        <f t="shared" si="5"/>
        <v>0</v>
      </c>
      <c r="S43" s="223"/>
      <c r="T43" s="223"/>
      <c r="U43" s="223"/>
      <c r="V43" s="357"/>
    </row>
    <row r="44" spans="1:22" x14ac:dyDescent="0.3">
      <c r="B44" s="367" t="s">
        <v>168</v>
      </c>
      <c r="C44" s="368"/>
      <c r="D44" s="368"/>
      <c r="E44" s="368"/>
      <c r="F44" s="368"/>
      <c r="G44" s="374">
        <f>G53</f>
        <v>813804.4</v>
      </c>
      <c r="H44" s="374">
        <f>H23+H43</f>
        <v>819016.4</v>
      </c>
      <c r="I44" s="374">
        <f>I23+I43</f>
        <v>840060.4</v>
      </c>
      <c r="J44" s="374">
        <f>J23+J43</f>
        <v>844708.4</v>
      </c>
      <c r="K44" s="374">
        <f t="shared" ref="K44:R44" si="6">K23+K43</f>
        <v>849920.4</v>
      </c>
      <c r="L44" s="374">
        <f t="shared" si="6"/>
        <v>854452.4</v>
      </c>
      <c r="M44" s="374">
        <f t="shared" si="6"/>
        <v>867460.4</v>
      </c>
      <c r="N44" s="374">
        <f t="shared" si="6"/>
        <v>872368.4</v>
      </c>
      <c r="O44" s="374">
        <f t="shared" si="6"/>
        <v>891340.4</v>
      </c>
      <c r="P44" s="374">
        <f t="shared" si="6"/>
        <v>896552.4</v>
      </c>
      <c r="Q44" s="374">
        <f t="shared" si="6"/>
        <v>902068.4</v>
      </c>
      <c r="R44" s="374">
        <f t="shared" si="6"/>
        <v>906857.6</v>
      </c>
      <c r="S44" s="374"/>
      <c r="T44" s="374"/>
      <c r="U44" s="374"/>
      <c r="V44" s="374">
        <f>SUM(G44:R44)</f>
        <v>10358610.000000002</v>
      </c>
    </row>
    <row r="45" spans="1:22" x14ac:dyDescent="0.3">
      <c r="A45" s="154"/>
      <c r="B45" s="181" t="s">
        <v>169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</row>
    <row r="46" spans="1:22" x14ac:dyDescent="0.3">
      <c r="B46" s="370" t="s">
        <v>160</v>
      </c>
      <c r="C46" s="370"/>
      <c r="D46" s="370"/>
      <c r="E46" s="370"/>
      <c r="F46" s="370"/>
      <c r="G46" s="375">
        <f>G28</f>
        <v>0</v>
      </c>
      <c r="H46" s="375">
        <f t="shared" ref="H46:R46" si="7">H28</f>
        <v>0</v>
      </c>
      <c r="I46" s="375">
        <f t="shared" si="7"/>
        <v>0</v>
      </c>
      <c r="J46" s="375">
        <f t="shared" si="7"/>
        <v>0</v>
      </c>
      <c r="K46" s="375">
        <f t="shared" si="7"/>
        <v>0</v>
      </c>
      <c r="L46" s="375">
        <f t="shared" si="7"/>
        <v>0</v>
      </c>
      <c r="M46" s="375">
        <f t="shared" si="7"/>
        <v>0</v>
      </c>
      <c r="N46" s="375">
        <f t="shared" si="7"/>
        <v>0</v>
      </c>
      <c r="O46" s="375">
        <f t="shared" si="7"/>
        <v>0</v>
      </c>
      <c r="P46" s="375">
        <f t="shared" si="7"/>
        <v>0</v>
      </c>
      <c r="Q46" s="375">
        <f t="shared" si="7"/>
        <v>0</v>
      </c>
      <c r="R46" s="375">
        <f t="shared" si="7"/>
        <v>0</v>
      </c>
      <c r="S46" s="204"/>
      <c r="T46" s="204"/>
      <c r="U46" s="204"/>
    </row>
    <row r="47" spans="1:22" x14ac:dyDescent="0.3">
      <c r="B47" s="157" t="s">
        <v>167</v>
      </c>
      <c r="C47" s="157"/>
      <c r="D47" s="157"/>
      <c r="E47" s="157"/>
      <c r="F47" s="157"/>
      <c r="G47" s="158">
        <f>G43</f>
        <v>0</v>
      </c>
      <c r="H47" s="158">
        <f t="shared" ref="H47:R47" si="8">H43</f>
        <v>0</v>
      </c>
      <c r="I47" s="158">
        <f t="shared" si="8"/>
        <v>0</v>
      </c>
      <c r="J47" s="158">
        <f t="shared" si="8"/>
        <v>0</v>
      </c>
      <c r="K47" s="158">
        <f t="shared" si="8"/>
        <v>0</v>
      </c>
      <c r="L47" s="158">
        <f t="shared" si="8"/>
        <v>0</v>
      </c>
      <c r="M47" s="158">
        <f t="shared" si="8"/>
        <v>0</v>
      </c>
      <c r="N47" s="158">
        <f t="shared" si="8"/>
        <v>0</v>
      </c>
      <c r="O47" s="158">
        <f t="shared" si="8"/>
        <v>0</v>
      </c>
      <c r="P47" s="158">
        <f t="shared" si="8"/>
        <v>0</v>
      </c>
      <c r="Q47" s="158">
        <f t="shared" si="8"/>
        <v>0</v>
      </c>
      <c r="R47" s="158">
        <f t="shared" si="8"/>
        <v>0</v>
      </c>
      <c r="S47" s="140"/>
      <c r="T47" s="140"/>
      <c r="U47" s="140"/>
    </row>
    <row r="48" spans="1:22" x14ac:dyDescent="0.3">
      <c r="B48" s="157" t="s">
        <v>44</v>
      </c>
      <c r="C48" s="157"/>
      <c r="D48" s="157"/>
      <c r="E48" s="157"/>
      <c r="F48" s="157"/>
      <c r="G48" s="158">
        <f t="shared" ref="G48:R48" si="9">G11</f>
        <v>1000660</v>
      </c>
      <c r="H48" s="158">
        <f t="shared" si="9"/>
        <v>1007175</v>
      </c>
      <c r="I48" s="158">
        <f t="shared" si="9"/>
        <v>1032005</v>
      </c>
      <c r="J48" s="158">
        <f t="shared" si="9"/>
        <v>1037815</v>
      </c>
      <c r="K48" s="158">
        <f t="shared" si="9"/>
        <v>1044330</v>
      </c>
      <c r="L48" s="158">
        <f t="shared" si="9"/>
        <v>1049995</v>
      </c>
      <c r="M48" s="158">
        <f t="shared" si="9"/>
        <v>1066255</v>
      </c>
      <c r="N48" s="158">
        <f t="shared" si="9"/>
        <v>1072390</v>
      </c>
      <c r="O48" s="158">
        <f t="shared" si="9"/>
        <v>1096105</v>
      </c>
      <c r="P48" s="158">
        <f t="shared" si="9"/>
        <v>1102620</v>
      </c>
      <c r="Q48" s="158">
        <f t="shared" si="9"/>
        <v>1109515</v>
      </c>
      <c r="R48" s="158">
        <f t="shared" si="9"/>
        <v>1118310</v>
      </c>
      <c r="S48" s="140"/>
      <c r="T48" s="140"/>
      <c r="U48" s="140"/>
    </row>
    <row r="49" spans="1:22" x14ac:dyDescent="0.3">
      <c r="B49" s="157" t="s">
        <v>45</v>
      </c>
      <c r="C49" s="157"/>
      <c r="D49" s="157"/>
      <c r="E49" s="157"/>
      <c r="F49" s="157"/>
      <c r="G49" s="158">
        <f>G18</f>
        <v>-625</v>
      </c>
      <c r="H49" s="158">
        <f t="shared" ref="H49:R49" si="10">H18</f>
        <v>-625</v>
      </c>
      <c r="I49" s="158">
        <f t="shared" si="10"/>
        <v>-625</v>
      </c>
      <c r="J49" s="158">
        <f t="shared" si="10"/>
        <v>-625</v>
      </c>
      <c r="K49" s="158">
        <f t="shared" si="10"/>
        <v>-625</v>
      </c>
      <c r="L49" s="158">
        <f t="shared" si="10"/>
        <v>-625</v>
      </c>
      <c r="M49" s="158">
        <f t="shared" si="10"/>
        <v>-625</v>
      </c>
      <c r="N49" s="158">
        <f t="shared" si="10"/>
        <v>-625</v>
      </c>
      <c r="O49" s="158">
        <f t="shared" si="10"/>
        <v>-625</v>
      </c>
      <c r="P49" s="158">
        <f t="shared" si="10"/>
        <v>-625</v>
      </c>
      <c r="Q49" s="158">
        <f t="shared" si="10"/>
        <v>-625</v>
      </c>
      <c r="R49" s="158">
        <f t="shared" si="10"/>
        <v>-625</v>
      </c>
      <c r="S49" s="140"/>
      <c r="T49" s="140"/>
      <c r="U49" s="140"/>
    </row>
    <row r="50" spans="1:22" x14ac:dyDescent="0.3">
      <c r="B50" s="157" t="s">
        <v>170</v>
      </c>
      <c r="C50" s="157"/>
      <c r="D50" s="157"/>
      <c r="E50" s="157"/>
      <c r="F50" s="157"/>
      <c r="G50" s="158">
        <f>SUM(G46:G49)</f>
        <v>1000035</v>
      </c>
      <c r="H50" s="158">
        <f t="shared" ref="H50:R50" si="11">SUM(H46:H49)</f>
        <v>1006550</v>
      </c>
      <c r="I50" s="158">
        <f t="shared" si="11"/>
        <v>1031380</v>
      </c>
      <c r="J50" s="158">
        <f t="shared" si="11"/>
        <v>1037190</v>
      </c>
      <c r="K50" s="158">
        <f t="shared" si="11"/>
        <v>1043705</v>
      </c>
      <c r="L50" s="158">
        <f t="shared" si="11"/>
        <v>1049370</v>
      </c>
      <c r="M50" s="158">
        <f t="shared" si="11"/>
        <v>1065630</v>
      </c>
      <c r="N50" s="158">
        <f t="shared" si="11"/>
        <v>1071765</v>
      </c>
      <c r="O50" s="158">
        <f t="shared" si="11"/>
        <v>1095480</v>
      </c>
      <c r="P50" s="158">
        <f t="shared" si="11"/>
        <v>1101995</v>
      </c>
      <c r="Q50" s="158">
        <f t="shared" si="11"/>
        <v>1108890</v>
      </c>
      <c r="R50" s="158">
        <f t="shared" si="11"/>
        <v>1117685</v>
      </c>
      <c r="S50" s="140"/>
      <c r="T50" s="140"/>
      <c r="U50" s="140"/>
    </row>
    <row r="51" spans="1:22" x14ac:dyDescent="0.3">
      <c r="B51" s="157" t="s">
        <v>153</v>
      </c>
      <c r="C51" s="157"/>
      <c r="D51" s="157"/>
      <c r="E51" s="157"/>
      <c r="F51" s="157"/>
      <c r="G51" s="158">
        <f>G19</f>
        <v>0</v>
      </c>
      <c r="H51" s="158">
        <f t="shared" ref="H51:R51" si="12">H19</f>
        <v>0</v>
      </c>
      <c r="I51" s="158">
        <f t="shared" si="12"/>
        <v>0</v>
      </c>
      <c r="J51" s="158">
        <f t="shared" si="12"/>
        <v>0</v>
      </c>
      <c r="K51" s="158">
        <f t="shared" si="12"/>
        <v>0</v>
      </c>
      <c r="L51" s="158">
        <f t="shared" si="12"/>
        <v>0</v>
      </c>
      <c r="M51" s="158">
        <f t="shared" si="12"/>
        <v>0</v>
      </c>
      <c r="N51" s="158">
        <f t="shared" si="12"/>
        <v>0</v>
      </c>
      <c r="O51" s="158">
        <f t="shared" si="12"/>
        <v>0</v>
      </c>
      <c r="P51" s="158">
        <f t="shared" si="12"/>
        <v>0</v>
      </c>
      <c r="Q51" s="158">
        <f t="shared" si="12"/>
        <v>0</v>
      </c>
      <c r="R51" s="158">
        <f t="shared" si="12"/>
        <v>0</v>
      </c>
      <c r="S51" s="140"/>
      <c r="T51" s="140"/>
      <c r="U51" s="140"/>
    </row>
    <row r="52" spans="1:22" x14ac:dyDescent="0.3">
      <c r="B52" s="157" t="s">
        <v>154</v>
      </c>
      <c r="C52" s="157"/>
      <c r="D52" s="157"/>
      <c r="E52" s="157"/>
      <c r="F52" s="157"/>
      <c r="G52" s="377">
        <f>G20</f>
        <v>-186230.6</v>
      </c>
      <c r="H52" s="377">
        <f t="shared" ref="H52:R52" si="13">H20</f>
        <v>-187533.6</v>
      </c>
      <c r="I52" s="377">
        <f t="shared" si="13"/>
        <v>-191319.6</v>
      </c>
      <c r="J52" s="377">
        <f t="shared" si="13"/>
        <v>-192481.6</v>
      </c>
      <c r="K52" s="377">
        <f t="shared" si="13"/>
        <v>-193784.6</v>
      </c>
      <c r="L52" s="377">
        <f t="shared" si="13"/>
        <v>-194917.6</v>
      </c>
      <c r="M52" s="377">
        <f t="shared" si="13"/>
        <v>-198169.60000000001</v>
      </c>
      <c r="N52" s="377">
        <f t="shared" si="13"/>
        <v>-199396.6</v>
      </c>
      <c r="O52" s="377">
        <f t="shared" si="13"/>
        <v>-204139.6</v>
      </c>
      <c r="P52" s="377">
        <f t="shared" si="13"/>
        <v>-205442.6</v>
      </c>
      <c r="Q52" s="377">
        <f t="shared" si="13"/>
        <v>-206821.6</v>
      </c>
      <c r="R52" s="377">
        <f t="shared" si="13"/>
        <v>-210827.40000000002</v>
      </c>
      <c r="S52" s="202"/>
      <c r="T52" s="202"/>
      <c r="U52" s="202"/>
    </row>
    <row r="53" spans="1:22" x14ac:dyDescent="0.3">
      <c r="B53" s="157" t="s">
        <v>168</v>
      </c>
      <c r="C53" s="157"/>
      <c r="D53" s="157"/>
      <c r="E53" s="157"/>
      <c r="F53" s="157"/>
      <c r="G53" s="158">
        <f>SUM(G50:G52)</f>
        <v>813804.4</v>
      </c>
      <c r="H53" s="158">
        <f>SUM(H50:H52)</f>
        <v>819016.4</v>
      </c>
      <c r="I53" s="158">
        <f t="shared" ref="I53:R53" si="14">SUM(I50:I52)</f>
        <v>840060.4</v>
      </c>
      <c r="J53" s="158">
        <f t="shared" si="14"/>
        <v>844708.4</v>
      </c>
      <c r="K53" s="158">
        <f t="shared" si="14"/>
        <v>849920.4</v>
      </c>
      <c r="L53" s="158">
        <f t="shared" si="14"/>
        <v>854452.4</v>
      </c>
      <c r="M53" s="158">
        <f t="shared" si="14"/>
        <v>867460.4</v>
      </c>
      <c r="N53" s="158">
        <f t="shared" si="14"/>
        <v>872368.4</v>
      </c>
      <c r="O53" s="158">
        <f t="shared" si="14"/>
        <v>891340.4</v>
      </c>
      <c r="P53" s="158">
        <f t="shared" si="14"/>
        <v>896552.4</v>
      </c>
      <c r="Q53" s="158">
        <f t="shared" si="14"/>
        <v>902068.4</v>
      </c>
      <c r="R53" s="158">
        <f t="shared" si="14"/>
        <v>906857.6</v>
      </c>
      <c r="S53" s="140"/>
      <c r="T53" s="140"/>
      <c r="U53" s="140"/>
    </row>
    <row r="54" spans="1:22" x14ac:dyDescent="0.3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2" x14ac:dyDescent="0.3">
      <c r="A55" s="154"/>
      <c r="B55" s="181" t="s">
        <v>171</v>
      </c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</row>
    <row r="56" spans="1:22" x14ac:dyDescent="0.3">
      <c r="B56" s="357" t="s">
        <v>172</v>
      </c>
      <c r="C56" s="357"/>
      <c r="D56" s="357"/>
      <c r="E56" s="357"/>
      <c r="F56" s="357"/>
      <c r="G56" s="223">
        <f>SUM(G23+G28)</f>
        <v>813804.4</v>
      </c>
      <c r="H56" s="223">
        <f t="shared" ref="H56:R56" si="15">SUM(H23+H28)</f>
        <v>819016.4</v>
      </c>
      <c r="I56" s="223">
        <f t="shared" si="15"/>
        <v>840060.4</v>
      </c>
      <c r="J56" s="223">
        <f t="shared" si="15"/>
        <v>844708.4</v>
      </c>
      <c r="K56" s="223">
        <f t="shared" si="15"/>
        <v>849920.4</v>
      </c>
      <c r="L56" s="223">
        <f t="shared" si="15"/>
        <v>854452.4</v>
      </c>
      <c r="M56" s="223">
        <f t="shared" si="15"/>
        <v>867460.4</v>
      </c>
      <c r="N56" s="223">
        <f t="shared" si="15"/>
        <v>872368.4</v>
      </c>
      <c r="O56" s="223">
        <f t="shared" si="15"/>
        <v>891340.4</v>
      </c>
      <c r="P56" s="223">
        <f t="shared" si="15"/>
        <v>896552.4</v>
      </c>
      <c r="Q56" s="223">
        <f t="shared" si="15"/>
        <v>902068.4</v>
      </c>
      <c r="R56" s="223">
        <f t="shared" si="15"/>
        <v>906857.6</v>
      </c>
      <c r="S56" s="1"/>
      <c r="T56" s="1"/>
      <c r="U56" s="1"/>
    </row>
    <row r="57" spans="1:22" x14ac:dyDescent="0.3">
      <c r="B57" s="357" t="s">
        <v>173</v>
      </c>
      <c r="C57" s="357"/>
      <c r="D57" s="357"/>
      <c r="E57" s="357"/>
      <c r="F57" s="357"/>
      <c r="G57" s="223">
        <f>G53</f>
        <v>813804.4</v>
      </c>
      <c r="H57" s="223">
        <f t="shared" ref="H57:R57" si="16">H53</f>
        <v>819016.4</v>
      </c>
      <c r="I57" s="223">
        <f t="shared" si="16"/>
        <v>840060.4</v>
      </c>
      <c r="J57" s="223">
        <f t="shared" si="16"/>
        <v>844708.4</v>
      </c>
      <c r="K57" s="223">
        <f t="shared" si="16"/>
        <v>849920.4</v>
      </c>
      <c r="L57" s="223">
        <f t="shared" si="16"/>
        <v>854452.4</v>
      </c>
      <c r="M57" s="223">
        <f t="shared" si="16"/>
        <v>867460.4</v>
      </c>
      <c r="N57" s="223">
        <f t="shared" si="16"/>
        <v>872368.4</v>
      </c>
      <c r="O57" s="223">
        <f t="shared" si="16"/>
        <v>891340.4</v>
      </c>
      <c r="P57" s="223">
        <f t="shared" si="16"/>
        <v>896552.4</v>
      </c>
      <c r="Q57" s="223">
        <f t="shared" si="16"/>
        <v>902068.4</v>
      </c>
      <c r="R57" s="223">
        <f t="shared" si="16"/>
        <v>906857.6</v>
      </c>
      <c r="S57" s="1"/>
      <c r="T57" s="1"/>
      <c r="U57" s="1"/>
    </row>
    <row r="58" spans="1:22" x14ac:dyDescent="0.3">
      <c r="B58" s="357" t="s">
        <v>174</v>
      </c>
      <c r="C58" s="357"/>
      <c r="D58" s="357"/>
      <c r="E58" s="357"/>
      <c r="F58" s="357"/>
      <c r="G58" s="223">
        <f>G53</f>
        <v>813804.4</v>
      </c>
      <c r="H58" s="223">
        <f t="shared" ref="H58:R58" si="17">H53</f>
        <v>819016.4</v>
      </c>
      <c r="I58" s="223">
        <f t="shared" si="17"/>
        <v>840060.4</v>
      </c>
      <c r="J58" s="223">
        <f t="shared" si="17"/>
        <v>844708.4</v>
      </c>
      <c r="K58" s="223">
        <f t="shared" si="17"/>
        <v>849920.4</v>
      </c>
      <c r="L58" s="223">
        <f t="shared" si="17"/>
        <v>854452.4</v>
      </c>
      <c r="M58" s="223">
        <f t="shared" si="17"/>
        <v>867460.4</v>
      </c>
      <c r="N58" s="223">
        <f t="shared" si="17"/>
        <v>872368.4</v>
      </c>
      <c r="O58" s="223">
        <f t="shared" si="17"/>
        <v>891340.4</v>
      </c>
      <c r="P58" s="223">
        <f t="shared" si="17"/>
        <v>896552.4</v>
      </c>
      <c r="Q58" s="223">
        <f t="shared" si="17"/>
        <v>902068.4</v>
      </c>
      <c r="R58" s="223">
        <f t="shared" si="17"/>
        <v>906857.6</v>
      </c>
      <c r="S58" s="1"/>
      <c r="T58" s="1"/>
      <c r="U58" s="1"/>
    </row>
    <row r="59" spans="1:22" x14ac:dyDescent="0.3">
      <c r="B59" s="357" t="s">
        <v>166</v>
      </c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357"/>
      <c r="O59" s="357"/>
      <c r="P59" s="357"/>
      <c r="Q59" s="357"/>
      <c r="R59" s="357"/>
    </row>
    <row r="60" spans="1:22" x14ac:dyDescent="0.3">
      <c r="B60" s="357" t="s">
        <v>168</v>
      </c>
      <c r="C60" s="357"/>
      <c r="D60" s="357"/>
      <c r="E60" s="357"/>
      <c r="F60" s="357"/>
      <c r="G60" s="223">
        <f>G53</f>
        <v>813804.4</v>
      </c>
      <c r="H60" s="223">
        <f t="shared" ref="H60:R60" si="18">H53</f>
        <v>819016.4</v>
      </c>
      <c r="I60" s="223">
        <f t="shared" si="18"/>
        <v>840060.4</v>
      </c>
      <c r="J60" s="223">
        <f t="shared" si="18"/>
        <v>844708.4</v>
      </c>
      <c r="K60" s="223">
        <f t="shared" si="18"/>
        <v>849920.4</v>
      </c>
      <c r="L60" s="223">
        <f t="shared" si="18"/>
        <v>854452.4</v>
      </c>
      <c r="M60" s="223">
        <f t="shared" si="18"/>
        <v>867460.4</v>
      </c>
      <c r="N60" s="223">
        <f t="shared" si="18"/>
        <v>872368.4</v>
      </c>
      <c r="O60" s="223">
        <f t="shared" si="18"/>
        <v>891340.4</v>
      </c>
      <c r="P60" s="223">
        <f t="shared" si="18"/>
        <v>896552.4</v>
      </c>
      <c r="Q60" s="223">
        <f t="shared" si="18"/>
        <v>902068.4</v>
      </c>
      <c r="R60" s="223">
        <f t="shared" si="18"/>
        <v>906857.6</v>
      </c>
      <c r="S60" s="1"/>
      <c r="T60" s="1"/>
      <c r="U60" s="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6822-5FE7-4DFE-A7E9-38FDCB7ADB3B}">
  <sheetPr codeName="Sheet35"/>
  <dimension ref="A1:Y216"/>
  <sheetViews>
    <sheetView showGridLines="0" workbookViewId="0">
      <selection activeCell="T11" sqref="T11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9" width="10.44140625" customWidth="1"/>
    <col min="10" max="10" width="9.6640625" customWidth="1"/>
    <col min="11" max="11" width="10.109375" customWidth="1"/>
    <col min="12" max="12" width="10" customWidth="1"/>
    <col min="13" max="13" width="9.77734375" customWidth="1"/>
    <col min="14" max="14" width="10.44140625" customWidth="1"/>
    <col min="15" max="15" width="9.77734375" customWidth="1"/>
    <col min="16" max="16" width="9.6640625" customWidth="1"/>
    <col min="17" max="17" width="9.88671875" customWidth="1"/>
    <col min="20" max="20" width="9.33203125" customWidth="1"/>
    <col min="21" max="21" width="11.5546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175</v>
      </c>
      <c r="F2"/>
    </row>
    <row r="3" spans="1:25" x14ac:dyDescent="0.3">
      <c r="B3" t="s">
        <v>145</v>
      </c>
      <c r="F3"/>
    </row>
    <row r="4" spans="1:25" x14ac:dyDescent="0.3">
      <c r="F4"/>
    </row>
    <row r="5" spans="1:25" x14ac:dyDescent="0.3">
      <c r="A5" s="154"/>
      <c r="B5" s="181" t="s">
        <v>176</v>
      </c>
      <c r="C5" s="154"/>
      <c r="D5" s="154"/>
      <c r="E5" s="154"/>
      <c r="F5" s="213">
        <v>2028</v>
      </c>
      <c r="G5" s="213">
        <v>2028</v>
      </c>
      <c r="H5" s="213">
        <v>2028</v>
      </c>
      <c r="I5" s="213">
        <v>2028</v>
      </c>
      <c r="J5" s="213">
        <v>2028</v>
      </c>
      <c r="K5" s="213">
        <v>2028</v>
      </c>
      <c r="L5" s="213">
        <v>2028</v>
      </c>
      <c r="M5" s="213">
        <v>2028</v>
      </c>
      <c r="N5" s="213">
        <v>2028</v>
      </c>
      <c r="O5" s="213">
        <v>2028</v>
      </c>
      <c r="P5" s="213">
        <v>2028</v>
      </c>
      <c r="Q5" s="213">
        <v>2028</v>
      </c>
      <c r="R5" s="213"/>
      <c r="S5" s="213"/>
      <c r="T5" s="213"/>
      <c r="U5" s="154"/>
    </row>
    <row r="6" spans="1:25" ht="15" thickBot="1" x14ac:dyDescent="0.35">
      <c r="A6" s="166"/>
      <c r="B6" s="167" t="s">
        <v>70</v>
      </c>
      <c r="C6" s="155"/>
      <c r="D6" s="155"/>
      <c r="E6" s="155"/>
      <c r="F6" s="212" t="s">
        <v>32</v>
      </c>
      <c r="G6" s="212" t="s">
        <v>33</v>
      </c>
      <c r="H6" s="212" t="s">
        <v>34</v>
      </c>
      <c r="I6" s="212" t="s">
        <v>35</v>
      </c>
      <c r="J6" s="212" t="s">
        <v>36</v>
      </c>
      <c r="K6" s="212" t="s">
        <v>37</v>
      </c>
      <c r="L6" s="212" t="s">
        <v>38</v>
      </c>
      <c r="M6" s="212" t="s">
        <v>39</v>
      </c>
      <c r="N6" s="212" t="s">
        <v>40</v>
      </c>
      <c r="O6" s="212" t="s">
        <v>41</v>
      </c>
      <c r="P6" s="212" t="s">
        <v>42</v>
      </c>
      <c r="Q6" s="212" t="s">
        <v>43</v>
      </c>
      <c r="R6" s="212"/>
      <c r="S6" s="212"/>
      <c r="T6" s="212"/>
      <c r="U6" s="209" t="s">
        <v>78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6" t="s">
        <v>175</v>
      </c>
      <c r="F8"/>
    </row>
    <row r="9" spans="1:25" x14ac:dyDescent="0.3">
      <c r="C9" s="177"/>
      <c r="F9"/>
    </row>
    <row r="10" spans="1:25" x14ac:dyDescent="0.3">
      <c r="C10" s="176" t="s">
        <v>55</v>
      </c>
      <c r="F10"/>
      <c r="G10" s="178"/>
      <c r="H10" s="178"/>
      <c r="I10" s="178"/>
      <c r="J10" s="178"/>
      <c r="K10" s="178"/>
      <c r="L10" s="177"/>
      <c r="M10" s="178"/>
      <c r="N10" s="178"/>
      <c r="O10" s="178"/>
      <c r="P10" s="178"/>
      <c r="Q10" s="178"/>
      <c r="R10" s="178"/>
      <c r="S10" s="178"/>
      <c r="T10" s="178"/>
      <c r="V10" s="1"/>
    </row>
    <row r="11" spans="1:25" x14ac:dyDescent="0.3">
      <c r="C11" s="177" t="s">
        <v>177</v>
      </c>
      <c r="F11" s="178">
        <f>'BS 2027'!Q14+'CF 2028'!G53</f>
        <v>23151959.38719999</v>
      </c>
      <c r="G11" s="178">
        <f>F14+'CF 2028'!H53</f>
        <v>23970975.787199989</v>
      </c>
      <c r="H11" s="178">
        <f>G14+'CF 2028'!I53</f>
        <v>24811036.187199987</v>
      </c>
      <c r="I11" s="178">
        <f>H14+'CF 2028'!J53</f>
        <v>25655744.587199986</v>
      </c>
      <c r="J11" s="178">
        <f>I14+'CF 2028'!K53</f>
        <v>26505664.987199984</v>
      </c>
      <c r="K11" s="178">
        <f>J14+'CF 2028'!L53</f>
        <v>27360117.387199983</v>
      </c>
      <c r="L11" s="178">
        <f>K14+'CF 2028'!M53</f>
        <v>28227577.787199982</v>
      </c>
      <c r="M11" s="178">
        <f>L14+'CF 2028'!N53</f>
        <v>29099946.18719998</v>
      </c>
      <c r="N11" s="178">
        <f>M14+'CF 2028'!O53</f>
        <v>29991286.587199979</v>
      </c>
      <c r="O11" s="178">
        <f>N14+'CF 2028'!P53</f>
        <v>30887838.987199977</v>
      </c>
      <c r="P11" s="178">
        <f>O14+'CF 2028'!Q53</f>
        <v>31789907.387199976</v>
      </c>
      <c r="Q11" s="178">
        <f>P14+'CF 2028'!R53</f>
        <v>32696764.987199977</v>
      </c>
      <c r="R11" s="178"/>
      <c r="S11" s="178"/>
      <c r="T11" s="178"/>
      <c r="V11" s="1"/>
    </row>
    <row r="12" spans="1:25" x14ac:dyDescent="0.3">
      <c r="C12" s="177" t="s">
        <v>178</v>
      </c>
      <c r="F12" s="178"/>
      <c r="G12" s="177"/>
      <c r="H12" s="177"/>
      <c r="I12" s="177" t="s">
        <v>195</v>
      </c>
      <c r="J12" s="177"/>
      <c r="K12" s="177" t="s">
        <v>195</v>
      </c>
      <c r="L12" s="177"/>
      <c r="M12" s="177"/>
      <c r="N12" s="177"/>
      <c r="O12" s="177"/>
      <c r="P12" s="177"/>
      <c r="Q12" s="177"/>
      <c r="R12" s="177"/>
      <c r="S12" s="177"/>
      <c r="T12" s="177"/>
      <c r="V12" s="1"/>
    </row>
    <row r="13" spans="1:25" x14ac:dyDescent="0.3">
      <c r="C13" s="177" t="s">
        <v>179</v>
      </c>
      <c r="F13"/>
      <c r="I13" s="178"/>
      <c r="K13" s="178"/>
      <c r="S13" s="178"/>
      <c r="T13" s="178"/>
      <c r="V13" s="1"/>
    </row>
    <row r="14" spans="1:25" x14ac:dyDescent="0.3">
      <c r="C14" s="177" t="s">
        <v>180</v>
      </c>
      <c r="F14" s="178">
        <f>SUM(F11:F13)</f>
        <v>23151959.38719999</v>
      </c>
      <c r="G14" s="178">
        <f t="shared" ref="G14:Q14" si="0">SUM(G11:G13)</f>
        <v>23970975.787199989</v>
      </c>
      <c r="H14" s="178">
        <f t="shared" si="0"/>
        <v>24811036.187199987</v>
      </c>
      <c r="I14" s="178">
        <f t="shared" si="0"/>
        <v>25655744.587199986</v>
      </c>
      <c r="J14" s="178">
        <f t="shared" si="0"/>
        <v>26505664.987199984</v>
      </c>
      <c r="K14" s="178">
        <f t="shared" si="0"/>
        <v>27360117.387199983</v>
      </c>
      <c r="L14" s="178">
        <f t="shared" si="0"/>
        <v>28227577.787199982</v>
      </c>
      <c r="M14" s="178">
        <f t="shared" si="0"/>
        <v>29099946.18719998</v>
      </c>
      <c r="N14" s="178">
        <f t="shared" si="0"/>
        <v>29991286.587199979</v>
      </c>
      <c r="O14" s="178">
        <f t="shared" si="0"/>
        <v>30887838.987199977</v>
      </c>
      <c r="P14" s="178">
        <f t="shared" si="0"/>
        <v>31789907.387199976</v>
      </c>
      <c r="Q14" s="178">
        <f t="shared" si="0"/>
        <v>32696764.987199977</v>
      </c>
      <c r="R14" s="178"/>
      <c r="S14" s="178"/>
      <c r="T14" s="178"/>
      <c r="U14" s="223">
        <f>SUM(F14:Q14)</f>
        <v>334148820.24639982</v>
      </c>
      <c r="V14" s="1"/>
    </row>
    <row r="15" spans="1:25" x14ac:dyDescent="0.3">
      <c r="C15" s="176" t="s">
        <v>56</v>
      </c>
      <c r="F15"/>
      <c r="G15" s="177"/>
      <c r="H15" s="177"/>
      <c r="I15" s="177"/>
      <c r="J15" s="180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V15" s="1"/>
    </row>
    <row r="16" spans="1:25" x14ac:dyDescent="0.3">
      <c r="C16" s="179" t="s">
        <v>181</v>
      </c>
      <c r="F16" s="178">
        <f>'BS 2027'!Q16-'IS 2028'!F58</f>
        <v>532774</v>
      </c>
      <c r="G16" s="178">
        <f>F16-'IS 2027'!G58</f>
        <v>534685</v>
      </c>
      <c r="H16" s="178">
        <f>G16-'IS 2027'!H58</f>
        <v>536596</v>
      </c>
      <c r="I16" s="178">
        <f>H16-'IS 2027'!I58</f>
        <v>538352</v>
      </c>
      <c r="J16" s="178">
        <f>I16-'IS 2027'!J58</f>
        <v>540108</v>
      </c>
      <c r="K16" s="178">
        <f>J16-'IS 2027'!K58</f>
        <v>541864</v>
      </c>
      <c r="L16" s="178">
        <f>K16-'IS 2027'!L58</f>
        <v>543620</v>
      </c>
      <c r="M16" s="178">
        <f>L16-'IS 2027'!M58</f>
        <v>545376</v>
      </c>
      <c r="N16" s="178">
        <f>M16-'IS 2027'!N58</f>
        <v>547132</v>
      </c>
      <c r="O16" s="178">
        <f>N16-'IS 2027'!O58</f>
        <v>548888</v>
      </c>
      <c r="P16" s="178">
        <f>O16-'IS 2027'!P58</f>
        <v>550644</v>
      </c>
      <c r="Q16" s="178">
        <f>P16-'IS 2027'!Q58</f>
        <v>552400</v>
      </c>
      <c r="R16" s="178"/>
      <c r="S16" s="185"/>
      <c r="T16" s="185"/>
      <c r="V16" s="1"/>
    </row>
    <row r="17" spans="1:22" x14ac:dyDescent="0.3">
      <c r="C17" s="179" t="s">
        <v>182</v>
      </c>
      <c r="F17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V17" s="1"/>
    </row>
    <row r="18" spans="1:22" x14ac:dyDescent="0.3">
      <c r="C18" s="179" t="s">
        <v>183</v>
      </c>
      <c r="F18" s="185">
        <f>SUM(F16:F17)</f>
        <v>532774</v>
      </c>
      <c r="G18" s="185">
        <f t="shared" ref="G18:Q19" si="1">SUM(G16:G17)</f>
        <v>534685</v>
      </c>
      <c r="H18" s="185">
        <f t="shared" si="1"/>
        <v>536596</v>
      </c>
      <c r="I18" s="185">
        <f t="shared" si="1"/>
        <v>538352</v>
      </c>
      <c r="J18" s="185">
        <f t="shared" si="1"/>
        <v>540108</v>
      </c>
      <c r="K18" s="185">
        <f t="shared" si="1"/>
        <v>541864</v>
      </c>
      <c r="L18" s="185">
        <f t="shared" si="1"/>
        <v>543620</v>
      </c>
      <c r="M18" s="185">
        <f t="shared" si="1"/>
        <v>545376</v>
      </c>
      <c r="N18" s="185">
        <f t="shared" si="1"/>
        <v>547132</v>
      </c>
      <c r="O18" s="185">
        <f t="shared" si="1"/>
        <v>548888</v>
      </c>
      <c r="P18" s="185">
        <f t="shared" si="1"/>
        <v>550644</v>
      </c>
      <c r="Q18" s="185">
        <f t="shared" si="1"/>
        <v>552400</v>
      </c>
      <c r="R18" s="185"/>
      <c r="S18" s="185"/>
      <c r="T18" s="185"/>
      <c r="V18" s="1"/>
    </row>
    <row r="19" spans="1:22" x14ac:dyDescent="0.3">
      <c r="A19" s="149"/>
      <c r="B19" s="154"/>
      <c r="C19" s="188" t="s">
        <v>184</v>
      </c>
      <c r="D19" s="154"/>
      <c r="E19" s="154"/>
      <c r="F19" s="189">
        <f>SUM(F17:F18)</f>
        <v>532774</v>
      </c>
      <c r="G19" s="189">
        <f t="shared" si="1"/>
        <v>534685</v>
      </c>
      <c r="H19" s="189">
        <f t="shared" si="1"/>
        <v>536596</v>
      </c>
      <c r="I19" s="189">
        <f t="shared" si="1"/>
        <v>538352</v>
      </c>
      <c r="J19" s="189">
        <f t="shared" si="1"/>
        <v>540108</v>
      </c>
      <c r="K19" s="189">
        <f t="shared" si="1"/>
        <v>541864</v>
      </c>
      <c r="L19" s="189">
        <f t="shared" si="1"/>
        <v>543620</v>
      </c>
      <c r="M19" s="189">
        <f t="shared" si="1"/>
        <v>545376</v>
      </c>
      <c r="N19" s="189">
        <f t="shared" si="1"/>
        <v>547132</v>
      </c>
      <c r="O19" s="189">
        <f t="shared" si="1"/>
        <v>548888</v>
      </c>
      <c r="P19" s="189">
        <f t="shared" si="1"/>
        <v>550644</v>
      </c>
      <c r="Q19" s="189">
        <f t="shared" si="1"/>
        <v>552400</v>
      </c>
      <c r="R19" s="189"/>
      <c r="S19" s="189"/>
      <c r="T19" s="189"/>
      <c r="U19" s="162">
        <f>SUM(F19:Q19)</f>
        <v>6512439</v>
      </c>
      <c r="V19" s="1"/>
    </row>
    <row r="20" spans="1:22" x14ac:dyDescent="0.3">
      <c r="A20" s="166"/>
      <c r="B20" s="155"/>
      <c r="C20" s="190" t="s">
        <v>57</v>
      </c>
      <c r="D20" s="155"/>
      <c r="E20" s="155"/>
      <c r="F20" s="191">
        <f>F14+F19</f>
        <v>23684733.38719999</v>
      </c>
      <c r="G20" s="191">
        <f>G14+G19</f>
        <v>24505660.787199989</v>
      </c>
      <c r="H20" s="191">
        <f t="shared" ref="H20:Q20" si="2">H14+H19</f>
        <v>25347632.187199987</v>
      </c>
      <c r="I20" s="191">
        <f t="shared" si="2"/>
        <v>26194096.587199986</v>
      </c>
      <c r="J20" s="191">
        <f t="shared" si="2"/>
        <v>27045772.987199984</v>
      </c>
      <c r="K20" s="191">
        <f t="shared" si="2"/>
        <v>27901981.387199983</v>
      </c>
      <c r="L20" s="191">
        <f t="shared" si="2"/>
        <v>28771197.787199982</v>
      </c>
      <c r="M20" s="191">
        <f t="shared" si="2"/>
        <v>29645322.18719998</v>
      </c>
      <c r="N20" s="191">
        <f t="shared" si="2"/>
        <v>30538418.587199979</v>
      </c>
      <c r="O20" s="191">
        <f t="shared" si="2"/>
        <v>31436726.987199977</v>
      </c>
      <c r="P20" s="191">
        <f t="shared" si="2"/>
        <v>32340551.387199976</v>
      </c>
      <c r="Q20" s="191">
        <f t="shared" si="2"/>
        <v>33249164.987199977</v>
      </c>
      <c r="R20" s="191"/>
      <c r="S20" s="191"/>
      <c r="T20" s="191"/>
      <c r="U20" s="156">
        <f>SUM(F20:Q20)</f>
        <v>340661259.24639982</v>
      </c>
      <c r="V20" s="1"/>
    </row>
    <row r="21" spans="1:22" x14ac:dyDescent="0.3">
      <c r="C21" s="187" t="s">
        <v>58</v>
      </c>
      <c r="F21"/>
      <c r="I21" s="180"/>
      <c r="K21" s="180"/>
      <c r="S21" s="180"/>
      <c r="T21" s="180"/>
      <c r="V21" s="1"/>
    </row>
    <row r="22" spans="1:22" x14ac:dyDescent="0.3">
      <c r="C22" s="179" t="s">
        <v>185</v>
      </c>
      <c r="F22" s="180"/>
      <c r="G22" s="180"/>
      <c r="Q22" s="180"/>
      <c r="V22" s="1"/>
    </row>
    <row r="23" spans="1:22" x14ac:dyDescent="0.3">
      <c r="C23" s="179" t="s">
        <v>186</v>
      </c>
      <c r="F23"/>
      <c r="H23" s="180"/>
      <c r="J23" s="180"/>
      <c r="V23" s="1"/>
    </row>
    <row r="24" spans="1:22" x14ac:dyDescent="0.3">
      <c r="C24" s="177" t="s">
        <v>187</v>
      </c>
      <c r="F24" s="185">
        <f>'CF 2028'!G52</f>
        <v>-186230.6</v>
      </c>
      <c r="G24" s="185">
        <f>'CF 2028'!H52</f>
        <v>-187533.6</v>
      </c>
      <c r="H24" s="185">
        <f>'CF 2028'!I52</f>
        <v>-191319.6</v>
      </c>
      <c r="I24" s="185">
        <f>'CF 2028'!J52</f>
        <v>-192481.6</v>
      </c>
      <c r="J24" s="185">
        <f>'CF 2028'!K52</f>
        <v>-193784.6</v>
      </c>
      <c r="K24" s="185">
        <f>'CF 2028'!L52</f>
        <v>-194917.6</v>
      </c>
      <c r="L24" s="185">
        <f>'CF 2028'!M52</f>
        <v>-198169.60000000001</v>
      </c>
      <c r="M24" s="185">
        <f>'CF 2028'!N52</f>
        <v>-199396.6</v>
      </c>
      <c r="N24" s="185">
        <f>'CF 2028'!O52</f>
        <v>-204139.6</v>
      </c>
      <c r="O24" s="185">
        <f>'CF 2028'!P52</f>
        <v>-205442.6</v>
      </c>
      <c r="P24" s="185">
        <f>'CF 2028'!Q52</f>
        <v>-206821.6</v>
      </c>
      <c r="Q24" s="185">
        <f>'CF 2028'!R52</f>
        <v>-210827.40000000002</v>
      </c>
      <c r="R24" s="185"/>
      <c r="S24" s="185"/>
      <c r="T24" s="185"/>
      <c r="V24" s="1"/>
    </row>
    <row r="25" spans="1:22" x14ac:dyDescent="0.3">
      <c r="A25" s="154"/>
      <c r="B25" s="154"/>
      <c r="C25" s="181" t="s">
        <v>188</v>
      </c>
      <c r="D25" s="154"/>
      <c r="E25" s="154"/>
      <c r="F25" s="162">
        <f>SUM(F22:F24)</f>
        <v>-186230.6</v>
      </c>
      <c r="G25" s="162">
        <f t="shared" ref="G25:Q25" si="3">SUM(G22:G24)</f>
        <v>-187533.6</v>
      </c>
      <c r="H25" s="162">
        <f t="shared" si="3"/>
        <v>-191319.6</v>
      </c>
      <c r="I25" s="162">
        <f t="shared" si="3"/>
        <v>-192481.6</v>
      </c>
      <c r="J25" s="162">
        <f t="shared" si="3"/>
        <v>-193784.6</v>
      </c>
      <c r="K25" s="162">
        <f t="shared" si="3"/>
        <v>-194917.6</v>
      </c>
      <c r="L25" s="162">
        <f t="shared" si="3"/>
        <v>-198169.60000000001</v>
      </c>
      <c r="M25" s="162">
        <f t="shared" si="3"/>
        <v>-199396.6</v>
      </c>
      <c r="N25" s="162">
        <f t="shared" si="3"/>
        <v>-204139.6</v>
      </c>
      <c r="O25" s="162">
        <f t="shared" si="3"/>
        <v>-205442.6</v>
      </c>
      <c r="P25" s="162">
        <f t="shared" si="3"/>
        <v>-206821.6</v>
      </c>
      <c r="Q25" s="162">
        <f t="shared" si="3"/>
        <v>-210827.40000000002</v>
      </c>
      <c r="R25" s="162"/>
      <c r="S25" s="162"/>
      <c r="T25" s="162"/>
      <c r="U25" s="162">
        <f>SUM(F25:Q25)</f>
        <v>-2371065.0000000005</v>
      </c>
      <c r="V25" s="1"/>
    </row>
    <row r="26" spans="1:22" x14ac:dyDescent="0.3">
      <c r="A26" s="155"/>
      <c r="B26" s="155"/>
      <c r="C26" s="192" t="s">
        <v>59</v>
      </c>
      <c r="D26" s="155"/>
      <c r="E26" s="155"/>
      <c r="F26" s="156"/>
      <c r="G26" s="155"/>
      <c r="H26" s="155"/>
      <c r="I26" s="156"/>
      <c r="J26" s="155"/>
      <c r="K26" s="156"/>
      <c r="L26" s="193"/>
      <c r="M26" s="193"/>
      <c r="N26" s="193"/>
      <c r="O26" s="193"/>
      <c r="P26" s="193"/>
      <c r="Q26" s="155"/>
      <c r="R26" s="193"/>
      <c r="S26" s="156"/>
      <c r="T26" s="156"/>
      <c r="U26" s="155"/>
      <c r="V26" s="1"/>
    </row>
    <row r="27" spans="1:22" x14ac:dyDescent="0.3">
      <c r="C27" s="176" t="s">
        <v>189</v>
      </c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223">
        <f>SUM(F27:Q27)</f>
        <v>0</v>
      </c>
      <c r="V27" s="1"/>
    </row>
    <row r="28" spans="1:22" ht="12.6" customHeight="1" x14ac:dyDescent="0.3">
      <c r="C28" s="177"/>
      <c r="F28"/>
      <c r="J28" s="178" t="s">
        <v>195</v>
      </c>
      <c r="U28" s="357"/>
      <c r="V28" s="1"/>
    </row>
    <row r="29" spans="1:22" x14ac:dyDescent="0.3">
      <c r="C29" s="176" t="s">
        <v>190</v>
      </c>
      <c r="F29" s="178"/>
      <c r="G29" s="178"/>
      <c r="H29" s="178"/>
      <c r="Q29" s="178"/>
      <c r="U29" s="357"/>
      <c r="V29" s="1"/>
    </row>
    <row r="30" spans="1:22" x14ac:dyDescent="0.3">
      <c r="C30" s="179" t="s">
        <v>198</v>
      </c>
      <c r="F30" s="178"/>
      <c r="G30" s="178"/>
      <c r="H30" s="178"/>
      <c r="Q30" s="178"/>
      <c r="U30" s="357"/>
      <c r="V30" s="1"/>
    </row>
    <row r="31" spans="1:22" x14ac:dyDescent="0.3">
      <c r="C31" s="176" t="s">
        <v>191</v>
      </c>
      <c r="F31" s="185">
        <f>SUM(F27:F29)</f>
        <v>0</v>
      </c>
      <c r="G31" s="185">
        <f t="shared" ref="G31:Q31" si="4">SUM(G27:G29)</f>
        <v>0</v>
      </c>
      <c r="H31" s="185">
        <f t="shared" si="4"/>
        <v>0</v>
      </c>
      <c r="I31" s="185">
        <f t="shared" si="4"/>
        <v>0</v>
      </c>
      <c r="J31" s="185">
        <f t="shared" si="4"/>
        <v>0</v>
      </c>
      <c r="K31" s="185">
        <f t="shared" si="4"/>
        <v>0</v>
      </c>
      <c r="L31" s="185">
        <f t="shared" si="4"/>
        <v>0</v>
      </c>
      <c r="M31" s="185">
        <f t="shared" si="4"/>
        <v>0</v>
      </c>
      <c r="N31" s="185">
        <f t="shared" si="4"/>
        <v>0</v>
      </c>
      <c r="O31" s="185">
        <f t="shared" si="4"/>
        <v>0</v>
      </c>
      <c r="P31" s="185">
        <f t="shared" si="4"/>
        <v>0</v>
      </c>
      <c r="Q31" s="185">
        <f t="shared" si="4"/>
        <v>0</v>
      </c>
      <c r="R31" s="185"/>
      <c r="S31" s="185"/>
      <c r="T31" s="185"/>
      <c r="U31" s="357"/>
      <c r="V31" s="1"/>
    </row>
    <row r="32" spans="1:22" x14ac:dyDescent="0.3">
      <c r="C32" s="176" t="s">
        <v>60</v>
      </c>
      <c r="F32" s="185">
        <f>F31+F25</f>
        <v>-186230.6</v>
      </c>
      <c r="G32" s="185">
        <f t="shared" ref="G32:Q32" si="5">G31+G24</f>
        <v>-187533.6</v>
      </c>
      <c r="H32" s="185">
        <f t="shared" si="5"/>
        <v>-191319.6</v>
      </c>
      <c r="I32" s="185">
        <f t="shared" si="5"/>
        <v>-192481.6</v>
      </c>
      <c r="J32" s="185">
        <f t="shared" si="5"/>
        <v>-193784.6</v>
      </c>
      <c r="K32" s="185">
        <f t="shared" si="5"/>
        <v>-194917.6</v>
      </c>
      <c r="L32" s="185">
        <f t="shared" si="5"/>
        <v>-198169.60000000001</v>
      </c>
      <c r="M32" s="185">
        <f t="shared" si="5"/>
        <v>-199396.6</v>
      </c>
      <c r="N32" s="185">
        <f t="shared" si="5"/>
        <v>-204139.6</v>
      </c>
      <c r="O32" s="185">
        <f t="shared" si="5"/>
        <v>-205442.6</v>
      </c>
      <c r="P32" s="185">
        <f t="shared" si="5"/>
        <v>-206821.6</v>
      </c>
      <c r="Q32" s="185">
        <f t="shared" si="5"/>
        <v>-210827.40000000002</v>
      </c>
      <c r="R32" s="185"/>
      <c r="S32" s="185"/>
      <c r="T32" s="185"/>
      <c r="U32" s="357"/>
      <c r="V32" s="1"/>
    </row>
    <row r="33" spans="3:22" x14ac:dyDescent="0.3">
      <c r="C33" s="176" t="s">
        <v>61</v>
      </c>
      <c r="F33" s="222">
        <f>F20+F32</f>
        <v>23498502.787199989</v>
      </c>
      <c r="G33" s="222">
        <f t="shared" ref="G33:Q33" si="6">G20+G32</f>
        <v>24318127.187199987</v>
      </c>
      <c r="H33" s="222">
        <f t="shared" si="6"/>
        <v>25156312.587199986</v>
      </c>
      <c r="I33" s="222">
        <f t="shared" si="6"/>
        <v>26001614.987199984</v>
      </c>
      <c r="J33" s="222">
        <f t="shared" si="6"/>
        <v>26851988.387199983</v>
      </c>
      <c r="K33" s="222">
        <f t="shared" si="6"/>
        <v>27707063.787199982</v>
      </c>
      <c r="L33" s="222">
        <f t="shared" si="6"/>
        <v>28573028.18719998</v>
      </c>
      <c r="M33" s="222">
        <f t="shared" si="6"/>
        <v>29445925.587199979</v>
      </c>
      <c r="N33" s="222">
        <f t="shared" si="6"/>
        <v>30334278.987199977</v>
      </c>
      <c r="O33" s="222">
        <f t="shared" si="6"/>
        <v>31231284.387199976</v>
      </c>
      <c r="P33" s="222">
        <f t="shared" si="6"/>
        <v>32133729.787199974</v>
      </c>
      <c r="Q33" s="222">
        <f t="shared" si="6"/>
        <v>33038337.587199979</v>
      </c>
      <c r="R33" s="222"/>
      <c r="S33" s="222"/>
      <c r="T33" s="222"/>
      <c r="U33" s="379">
        <f>SUM(F33:Q33)</f>
        <v>338290194.24639982</v>
      </c>
      <c r="V33" s="1"/>
    </row>
    <row r="34" spans="3:22" x14ac:dyDescent="0.3">
      <c r="C34" s="179" t="s">
        <v>63</v>
      </c>
      <c r="F34" s="177"/>
      <c r="G34" s="177"/>
      <c r="H34" s="177"/>
      <c r="I34" s="177"/>
      <c r="J34" s="178"/>
      <c r="K34" s="178"/>
      <c r="L34" s="178"/>
      <c r="M34" s="178"/>
      <c r="N34" s="178"/>
      <c r="O34" s="178"/>
      <c r="P34" s="178"/>
      <c r="Q34" s="177"/>
      <c r="R34" s="178"/>
      <c r="S34" s="178"/>
      <c r="T34" s="178"/>
      <c r="V34" s="1"/>
    </row>
    <row r="35" spans="3:22" x14ac:dyDescent="0.3">
      <c r="C35" s="179" t="s">
        <v>65</v>
      </c>
      <c r="F35" s="178">
        <f>SUM(F33:F34)</f>
        <v>23498502.787199989</v>
      </c>
      <c r="G35" s="178">
        <f t="shared" ref="G35:Q35" si="7">SUM(G33:G34)</f>
        <v>24318127.187199987</v>
      </c>
      <c r="H35" s="178">
        <f t="shared" si="7"/>
        <v>25156312.587199986</v>
      </c>
      <c r="I35" s="178">
        <f t="shared" si="7"/>
        <v>26001614.987199984</v>
      </c>
      <c r="J35" s="178">
        <f t="shared" si="7"/>
        <v>26851988.387199983</v>
      </c>
      <c r="K35" s="178">
        <f t="shared" si="7"/>
        <v>27707063.787199982</v>
      </c>
      <c r="L35" s="178">
        <f t="shared" si="7"/>
        <v>28573028.18719998</v>
      </c>
      <c r="M35" s="178">
        <f t="shared" si="7"/>
        <v>29445925.587199979</v>
      </c>
      <c r="N35" s="178">
        <f t="shared" si="7"/>
        <v>30334278.987199977</v>
      </c>
      <c r="O35" s="178">
        <f t="shared" si="7"/>
        <v>31231284.387199976</v>
      </c>
      <c r="P35" s="178">
        <f t="shared" si="7"/>
        <v>32133729.787199974</v>
      </c>
      <c r="Q35" s="178">
        <f t="shared" si="7"/>
        <v>33038337.587199979</v>
      </c>
      <c r="R35" s="178"/>
      <c r="S35" s="178"/>
      <c r="T35" s="178"/>
      <c r="V35" s="1"/>
    </row>
    <row r="36" spans="3:22" x14ac:dyDescent="0.3">
      <c r="C36" s="186" t="s">
        <v>66</v>
      </c>
      <c r="F36" s="178">
        <f>F34+F35</f>
        <v>23498502.787199989</v>
      </c>
      <c r="G36" s="178">
        <f t="shared" ref="G36:Q36" si="8">G34+G35</f>
        <v>24318127.187199987</v>
      </c>
      <c r="H36" s="178">
        <f t="shared" si="8"/>
        <v>25156312.587199986</v>
      </c>
      <c r="I36" s="178">
        <f t="shared" si="8"/>
        <v>26001614.987199984</v>
      </c>
      <c r="J36" s="178">
        <f t="shared" si="8"/>
        <v>26851988.387199983</v>
      </c>
      <c r="K36" s="178">
        <f t="shared" si="8"/>
        <v>27707063.787199982</v>
      </c>
      <c r="L36" s="178">
        <f t="shared" si="8"/>
        <v>28573028.18719998</v>
      </c>
      <c r="M36" s="178">
        <f t="shared" si="8"/>
        <v>29445925.587199979</v>
      </c>
      <c r="N36" s="178">
        <f t="shared" si="8"/>
        <v>30334278.987199977</v>
      </c>
      <c r="O36" s="178">
        <f t="shared" si="8"/>
        <v>31231284.387199976</v>
      </c>
      <c r="P36" s="178">
        <f t="shared" si="8"/>
        <v>32133729.787199974</v>
      </c>
      <c r="Q36" s="178">
        <f t="shared" si="8"/>
        <v>33038337.587199979</v>
      </c>
      <c r="R36" s="178"/>
      <c r="S36" s="178"/>
      <c r="T36" s="178"/>
      <c r="V36" s="1"/>
    </row>
    <row r="37" spans="3:22" x14ac:dyDescent="0.3">
      <c r="C37" s="179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V37" s="1"/>
    </row>
    <row r="38" spans="3:22" x14ac:dyDescent="0.3">
      <c r="C38" s="179" t="s">
        <v>192</v>
      </c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V38" s="1"/>
    </row>
    <row r="39" spans="3:22" x14ac:dyDescent="0.3">
      <c r="C39" s="179" t="s">
        <v>193</v>
      </c>
      <c r="F39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V39" s="1"/>
    </row>
    <row r="40" spans="3:22" x14ac:dyDescent="0.3">
      <c r="C40" s="179" t="s">
        <v>194</v>
      </c>
      <c r="F40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V40" s="1"/>
    </row>
    <row r="41" spans="3:22" x14ac:dyDescent="0.3">
      <c r="C41" s="179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FD79-C2BE-481E-8E4A-4B5CA1D7943E}">
  <sheetPr codeName="Sheet38"/>
  <dimension ref="B2:V101"/>
  <sheetViews>
    <sheetView showGridLines="0" topLeftCell="A76" zoomScale="97" zoomScaleNormal="97" workbookViewId="0">
      <selection activeCell="K101" sqref="K101:V101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1" t="s">
        <v>329</v>
      </c>
      <c r="C2" s="181"/>
      <c r="D2" s="181"/>
      <c r="E2" s="181"/>
      <c r="F2" s="154"/>
      <c r="G2" s="154"/>
      <c r="H2" s="154"/>
      <c r="I2" s="154"/>
      <c r="J2" s="154"/>
      <c r="K2" s="387" t="s">
        <v>330</v>
      </c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4" spans="2:22" x14ac:dyDescent="0.3">
      <c r="B4" s="199" t="s">
        <v>27</v>
      </c>
      <c r="C4" s="199"/>
      <c r="D4" s="199"/>
      <c r="E4" s="200">
        <v>2024</v>
      </c>
      <c r="F4" s="200">
        <v>2025</v>
      </c>
      <c r="G4" s="200">
        <v>2026</v>
      </c>
      <c r="H4" s="200">
        <v>2027</v>
      </c>
      <c r="I4" s="200">
        <v>2028</v>
      </c>
      <c r="J4" s="199"/>
      <c r="K4" s="200" t="s">
        <v>32</v>
      </c>
      <c r="L4" s="200" t="s">
        <v>33</v>
      </c>
      <c r="M4" s="200" t="s">
        <v>34</v>
      </c>
      <c r="N4" s="200" t="s">
        <v>35</v>
      </c>
      <c r="O4" s="200" t="s">
        <v>36</v>
      </c>
      <c r="P4" s="200" t="s">
        <v>37</v>
      </c>
      <c r="Q4" s="200" t="s">
        <v>38</v>
      </c>
      <c r="R4" s="200" t="s">
        <v>39</v>
      </c>
      <c r="S4" s="200" t="s">
        <v>40</v>
      </c>
      <c r="T4" s="200" t="s">
        <v>41</v>
      </c>
      <c r="U4" s="200" t="s">
        <v>42</v>
      </c>
      <c r="V4" s="200" t="s">
        <v>43</v>
      </c>
    </row>
    <row r="5" spans="2:22" x14ac:dyDescent="0.3">
      <c r="B5" t="s">
        <v>44</v>
      </c>
      <c r="E5" s="211">
        <f>'Statements Summary 2024'!V5</f>
        <v>449900</v>
      </c>
      <c r="F5" s="211">
        <f>'Statements Summary 2025'!V5</f>
        <v>586218.73300000001</v>
      </c>
      <c r="G5" s="211">
        <f>'Statements Summary 2026'!V5</f>
        <v>661710</v>
      </c>
      <c r="H5" s="211">
        <f>'Statements Summary 2027'!V5</f>
        <v>994995</v>
      </c>
      <c r="I5" s="211">
        <f t="shared" ref="I5:I17" si="0">V5</f>
        <v>1118310</v>
      </c>
      <c r="K5" s="211">
        <f>'CF 2028'!G11</f>
        <v>1000660</v>
      </c>
      <c r="L5" s="211">
        <f>'CF 2028'!H11</f>
        <v>1007175</v>
      </c>
      <c r="M5" s="211">
        <f>'CF 2028'!I11</f>
        <v>1032005</v>
      </c>
      <c r="N5" s="211">
        <f>'CF 2028'!J11</f>
        <v>1037815</v>
      </c>
      <c r="O5" s="211">
        <f>'CF 2028'!K11</f>
        <v>1044330</v>
      </c>
      <c r="P5" s="211">
        <f>'CF 2028'!L11</f>
        <v>1049995</v>
      </c>
      <c r="Q5" s="211">
        <f>'CF 2028'!M11</f>
        <v>1066255</v>
      </c>
      <c r="R5" s="211">
        <f>'CF 2028'!N11</f>
        <v>1072390</v>
      </c>
      <c r="S5" s="211">
        <f>'CF 2028'!O11</f>
        <v>1096105</v>
      </c>
      <c r="T5" s="211">
        <f>'CF 2028'!P11</f>
        <v>1102620</v>
      </c>
      <c r="U5" s="211">
        <f>'CF 2028'!Q11</f>
        <v>1109515</v>
      </c>
      <c r="V5" s="211">
        <f>'CF 2028'!R11</f>
        <v>1118310</v>
      </c>
    </row>
    <row r="6" spans="2:22" x14ac:dyDescent="0.3">
      <c r="B6" t="s">
        <v>45</v>
      </c>
      <c r="E6" s="211">
        <f>'Statements Summary 2024'!V6</f>
        <v>-625</v>
      </c>
      <c r="F6" s="211">
        <f>'Statements Summary 2025'!V6</f>
        <v>-625</v>
      </c>
      <c r="G6" s="211">
        <f>'Statements Summary 2026'!V6</f>
        <v>-625</v>
      </c>
      <c r="H6" s="211">
        <f>'Statements Summary 2027'!V6</f>
        <v>-625</v>
      </c>
      <c r="I6" s="211">
        <f t="shared" si="0"/>
        <v>-625</v>
      </c>
      <c r="K6" s="211">
        <f>'CF 2028'!G18</f>
        <v>-625</v>
      </c>
      <c r="L6" s="211">
        <f>'CF 2028'!H18</f>
        <v>-625</v>
      </c>
      <c r="M6" s="211">
        <f>'CF 2028'!I18</f>
        <v>-625</v>
      </c>
      <c r="N6" s="211">
        <f>'CF 2028'!J18</f>
        <v>-625</v>
      </c>
      <c r="O6" s="211">
        <f>'CF 2028'!K18</f>
        <v>-625</v>
      </c>
      <c r="P6" s="211">
        <f>'CF 2028'!L18</f>
        <v>-625</v>
      </c>
      <c r="Q6" s="211">
        <f>'CF 2028'!M18</f>
        <v>-625</v>
      </c>
      <c r="R6" s="211">
        <f>'CF 2028'!N18</f>
        <v>-625</v>
      </c>
      <c r="S6" s="211">
        <f>'CF 2028'!O18</f>
        <v>-625</v>
      </c>
      <c r="T6" s="211">
        <f>'CF 2028'!P18</f>
        <v>-625</v>
      </c>
      <c r="U6" s="211">
        <f>'CF 2028'!Q18</f>
        <v>-625</v>
      </c>
      <c r="V6" s="211">
        <f>'CF 2028'!R18</f>
        <v>-625</v>
      </c>
    </row>
    <row r="7" spans="2:22" x14ac:dyDescent="0.3">
      <c r="B7" t="s">
        <v>46</v>
      </c>
      <c r="E7" s="211">
        <f>'Statements Summary 2024'!V7</f>
        <v>-16818</v>
      </c>
      <c r="F7" s="211">
        <f>'Statements Summary 2025'!V7</f>
        <v>-16818</v>
      </c>
      <c r="G7" s="211">
        <f>'Statements Summary 2026'!V7</f>
        <v>0</v>
      </c>
      <c r="H7" s="211">
        <f>'Statements Summary 2027'!V7</f>
        <v>0</v>
      </c>
      <c r="I7" s="211">
        <f t="shared" si="0"/>
        <v>0</v>
      </c>
      <c r="K7" s="211" t="s">
        <v>195</v>
      </c>
      <c r="L7" s="211">
        <f>'CF 2028'!H34</f>
        <v>0</v>
      </c>
      <c r="M7" s="211">
        <f>'CF 2028'!I34</f>
        <v>0</v>
      </c>
      <c r="N7" s="211">
        <f>'CF 2028'!J34</f>
        <v>0</v>
      </c>
      <c r="O7" s="211">
        <f>'CF 2028'!K34</f>
        <v>0</v>
      </c>
      <c r="P7" s="211">
        <f>'CF 2028'!L34</f>
        <v>0</v>
      </c>
      <c r="Q7" s="211">
        <f>'CF 2028'!M34</f>
        <v>0</v>
      </c>
      <c r="R7" s="211">
        <f>'CF 2028'!N34</f>
        <v>0</v>
      </c>
      <c r="S7" s="211">
        <f>'CF 2028'!O34</f>
        <v>0</v>
      </c>
      <c r="T7" s="211">
        <f>'CF 2028'!P34</f>
        <v>0</v>
      </c>
      <c r="U7" s="211">
        <f>'CF 2028'!Q34</f>
        <v>0</v>
      </c>
      <c r="V7" s="211">
        <f>'CF 2028'!R34</f>
        <v>0</v>
      </c>
    </row>
    <row r="8" spans="2:22" x14ac:dyDescent="0.3">
      <c r="B8" t="s">
        <v>18</v>
      </c>
      <c r="E8" s="211">
        <f>'Statements Summary 2024'!V8</f>
        <v>290479.59999999998</v>
      </c>
      <c r="F8" s="211">
        <f>'Statements Summary 2025'!V8</f>
        <v>439897.78639999998</v>
      </c>
      <c r="G8" s="211">
        <f>'Statements Summary 2026'!V8</f>
        <v>529128</v>
      </c>
      <c r="H8" s="211">
        <f>'Statements Summary 2027'!V8</f>
        <v>807025.6</v>
      </c>
      <c r="I8" s="211">
        <f t="shared" si="0"/>
        <v>906857.6</v>
      </c>
      <c r="K8" s="211">
        <f>'CF 2028'!G23</f>
        <v>813804.4</v>
      </c>
      <c r="L8" s="211">
        <f>'CF 2028'!H23</f>
        <v>819016.4</v>
      </c>
      <c r="M8" s="211">
        <f>'CF 2028'!I23</f>
        <v>840060.4</v>
      </c>
      <c r="N8" s="211">
        <f>'CF 2028'!J23</f>
        <v>844708.4</v>
      </c>
      <c r="O8" s="211">
        <f>'CF 2028'!K23</f>
        <v>849920.4</v>
      </c>
      <c r="P8" s="211">
        <f>'CF 2028'!L23</f>
        <v>854452.4</v>
      </c>
      <c r="Q8" s="211">
        <f>'CF 2028'!M23</f>
        <v>867460.4</v>
      </c>
      <c r="R8" s="211">
        <f>'CF 2028'!N23</f>
        <v>872368.4</v>
      </c>
      <c r="S8" s="211">
        <f>'CF 2028'!O23</f>
        <v>891340.4</v>
      </c>
      <c r="T8" s="211">
        <f>'CF 2028'!P23</f>
        <v>896552.4</v>
      </c>
      <c r="U8" s="211">
        <f>'CF 2028'!Q23</f>
        <v>902068.4</v>
      </c>
      <c r="V8" s="211">
        <f>'CF 2028'!R23</f>
        <v>906857.6</v>
      </c>
    </row>
    <row r="9" spans="2:22" x14ac:dyDescent="0.3">
      <c r="B9" t="s">
        <v>47</v>
      </c>
      <c r="E9" s="211" t="str">
        <f>'Statements Summary 2024'!V9</f>
        <v>-</v>
      </c>
      <c r="F9" s="211" t="str">
        <f>'Statements Summary 2025'!V9</f>
        <v>-</v>
      </c>
      <c r="G9" s="211">
        <f>'Statements Summary 2026'!V9</f>
        <v>0</v>
      </c>
      <c r="H9" s="211">
        <f>'Statements Summary 2027'!V9</f>
        <v>0</v>
      </c>
      <c r="I9" s="211">
        <f t="shared" si="0"/>
        <v>0</v>
      </c>
      <c r="K9" s="211">
        <f>'CF 2028'!G28</f>
        <v>0</v>
      </c>
      <c r="L9" s="211">
        <f>'CF 2028'!H28</f>
        <v>0</v>
      </c>
      <c r="M9" s="211">
        <f>'CF 2028'!I28</f>
        <v>0</v>
      </c>
      <c r="N9" s="211">
        <f>'CF 2028'!J28</f>
        <v>0</v>
      </c>
      <c r="O9" s="211">
        <f>'CF 2028'!K28</f>
        <v>0</v>
      </c>
      <c r="P9" s="211">
        <f>'CF 2028'!L28</f>
        <v>0</v>
      </c>
      <c r="Q9" s="211">
        <f>'CF 2028'!M28</f>
        <v>0</v>
      </c>
      <c r="R9" s="211">
        <f>'CF 2028'!N28</f>
        <v>0</v>
      </c>
      <c r="S9" s="211">
        <f>'CF 2028'!O28</f>
        <v>0</v>
      </c>
      <c r="T9" s="211">
        <f>'CF 2028'!P28</f>
        <v>0</v>
      </c>
      <c r="U9" s="211">
        <f>'CF 2028'!Q28</f>
        <v>0</v>
      </c>
      <c r="V9" s="211">
        <f>'CF 2028'!R28</f>
        <v>0</v>
      </c>
    </row>
    <row r="10" spans="2:22" x14ac:dyDescent="0.3">
      <c r="B10" t="s">
        <v>48</v>
      </c>
      <c r="E10" s="211" t="str">
        <f>'Statements Summary 2024'!V10</f>
        <v>-</v>
      </c>
      <c r="F10" s="211" t="str">
        <f>'Statements Summary 2025'!V10</f>
        <v>-</v>
      </c>
      <c r="G10" s="211" t="str">
        <f>'Statements Summary 2026'!V10</f>
        <v>-</v>
      </c>
      <c r="H10" s="211" t="str">
        <f>'Statements Summary 2027'!V10</f>
        <v>-</v>
      </c>
      <c r="I10" s="211" t="str">
        <f t="shared" si="0"/>
        <v>-</v>
      </c>
      <c r="K10" s="211" t="s">
        <v>195</v>
      </c>
      <c r="L10" s="211" t="s">
        <v>195</v>
      </c>
      <c r="M10" s="211" t="s">
        <v>195</v>
      </c>
      <c r="N10" s="211" t="s">
        <v>195</v>
      </c>
      <c r="O10" s="211" t="s">
        <v>195</v>
      </c>
      <c r="P10" s="211" t="s">
        <v>195</v>
      </c>
      <c r="Q10" s="211" t="s">
        <v>195</v>
      </c>
      <c r="R10" s="211" t="s">
        <v>195</v>
      </c>
      <c r="S10" s="211" t="s">
        <v>195</v>
      </c>
      <c r="T10" s="211" t="s">
        <v>195</v>
      </c>
      <c r="U10" s="211" t="s">
        <v>195</v>
      </c>
      <c r="V10" s="211" t="s">
        <v>195</v>
      </c>
    </row>
    <row r="11" spans="2:22" x14ac:dyDescent="0.3">
      <c r="B11" t="s">
        <v>49</v>
      </c>
      <c r="E11" s="211" t="str">
        <f>'Statements Summary 2024'!V11</f>
        <v>-</v>
      </c>
      <c r="F11" s="211" t="str">
        <f>'Statements Summary 2025'!V11</f>
        <v>-</v>
      </c>
      <c r="G11" s="211" t="str">
        <f>'Statements Summary 2026'!V11</f>
        <v>-</v>
      </c>
      <c r="H11" s="211" t="str">
        <f>'Statements Summary 2027'!V11</f>
        <v>-</v>
      </c>
      <c r="I11" s="211" t="str">
        <f t="shared" si="0"/>
        <v>-</v>
      </c>
      <c r="K11" s="211">
        <f>'CF 2028'!G28</f>
        <v>0</v>
      </c>
      <c r="L11" s="211" t="s">
        <v>195</v>
      </c>
      <c r="M11" s="211" t="s">
        <v>195</v>
      </c>
      <c r="N11" s="211" t="s">
        <v>195</v>
      </c>
      <c r="O11" s="211" t="s">
        <v>195</v>
      </c>
      <c r="P11" s="211" t="s">
        <v>195</v>
      </c>
      <c r="Q11" s="211" t="s">
        <v>195</v>
      </c>
      <c r="R11" s="211" t="s">
        <v>195</v>
      </c>
      <c r="S11" s="211" t="s">
        <v>195</v>
      </c>
      <c r="T11" s="211" t="s">
        <v>195</v>
      </c>
      <c r="U11" s="211" t="s">
        <v>195</v>
      </c>
      <c r="V11" s="211" t="s">
        <v>195</v>
      </c>
    </row>
    <row r="12" spans="2:22" x14ac:dyDescent="0.3">
      <c r="B12" t="s">
        <v>50</v>
      </c>
      <c r="E12" s="211">
        <f>'Statements Summary 2024'!V12</f>
        <v>-16818</v>
      </c>
      <c r="F12" s="211">
        <f>'Statements Summary 2025'!V12</f>
        <v>-16818</v>
      </c>
      <c r="G12" s="211">
        <f>'Statements Summary 2026'!V12</f>
        <v>0</v>
      </c>
      <c r="H12" s="211">
        <f>'Statements Summary 2027'!V12</f>
        <v>0</v>
      </c>
      <c r="I12" s="211">
        <f t="shared" si="0"/>
        <v>0</v>
      </c>
      <c r="K12" s="211" t="s">
        <v>195</v>
      </c>
      <c r="L12" s="211">
        <f>'CF 2028'!H34</f>
        <v>0</v>
      </c>
      <c r="M12" s="211">
        <f>'CF 2028'!I34</f>
        <v>0</v>
      </c>
      <c r="N12" s="211">
        <f>'CF 2028'!J34</f>
        <v>0</v>
      </c>
      <c r="O12" s="211">
        <f>'CF 2028'!K34</f>
        <v>0</v>
      </c>
      <c r="P12" s="211">
        <f>'CF 2028'!L34</f>
        <v>0</v>
      </c>
      <c r="Q12" s="211">
        <f>'CF 2028'!M34</f>
        <v>0</v>
      </c>
      <c r="R12" s="211">
        <f>'CF 2028'!N34</f>
        <v>0</v>
      </c>
      <c r="S12" s="211">
        <f>'CF 2028'!O34</f>
        <v>0</v>
      </c>
      <c r="T12" s="211">
        <f>'CF 2028'!P34</f>
        <v>0</v>
      </c>
      <c r="U12" s="211">
        <f>'CF 2028'!Q34</f>
        <v>0</v>
      </c>
      <c r="V12" s="211">
        <f>'CF 2028'!R34</f>
        <v>0</v>
      </c>
    </row>
    <row r="13" spans="2:22" x14ac:dyDescent="0.3">
      <c r="B13" t="s">
        <v>51</v>
      </c>
      <c r="E13" s="211" t="str">
        <f>'Statements Summary 2024'!V13</f>
        <v>-</v>
      </c>
      <c r="F13" s="211" t="str">
        <f>'Statements Summary 2025'!V13</f>
        <v>-</v>
      </c>
      <c r="G13" s="211" t="str">
        <f>'Statements Summary 2026'!V13</f>
        <v>-</v>
      </c>
      <c r="H13" s="211" t="str">
        <f>'Statements Summary 2027'!V13</f>
        <v>-</v>
      </c>
      <c r="I13" s="211" t="str">
        <f t="shared" si="0"/>
        <v>-</v>
      </c>
      <c r="K13" s="211" t="s">
        <v>195</v>
      </c>
      <c r="L13" s="211" t="s">
        <v>195</v>
      </c>
      <c r="M13" s="211" t="s">
        <v>195</v>
      </c>
      <c r="N13" s="211" t="s">
        <v>195</v>
      </c>
      <c r="O13" s="211" t="s">
        <v>195</v>
      </c>
      <c r="P13" s="211" t="s">
        <v>195</v>
      </c>
      <c r="Q13" s="211" t="s">
        <v>195</v>
      </c>
      <c r="R13" s="211" t="s">
        <v>195</v>
      </c>
      <c r="S13" s="211" t="s">
        <v>195</v>
      </c>
      <c r="T13" s="211" t="s">
        <v>195</v>
      </c>
      <c r="U13" s="211" t="s">
        <v>195</v>
      </c>
      <c r="V13" s="211" t="s">
        <v>195</v>
      </c>
    </row>
    <row r="14" spans="2:22" x14ac:dyDescent="0.3">
      <c r="B14" t="s">
        <v>52</v>
      </c>
      <c r="E14" s="211" t="str">
        <f>'Statements Summary 2024'!V14</f>
        <v>-</v>
      </c>
      <c r="F14" s="211" t="str">
        <f>'Statements Summary 2025'!V14</f>
        <v>-</v>
      </c>
      <c r="G14" s="211" t="str">
        <f>'Statements Summary 2026'!V14</f>
        <v>-</v>
      </c>
      <c r="H14" s="211" t="str">
        <f>'Statements Summary 2027'!V14</f>
        <v>-</v>
      </c>
      <c r="I14" s="211" t="str">
        <f t="shared" si="0"/>
        <v>-</v>
      </c>
      <c r="K14" s="211" t="s">
        <v>195</v>
      </c>
      <c r="L14" s="211" t="s">
        <v>195</v>
      </c>
      <c r="M14" s="211" t="s">
        <v>195</v>
      </c>
      <c r="N14" s="211" t="s">
        <v>195</v>
      </c>
      <c r="O14" s="211" t="s">
        <v>195</v>
      </c>
      <c r="P14" s="211" t="s">
        <v>195</v>
      </c>
      <c r="Q14" s="211" t="s">
        <v>195</v>
      </c>
      <c r="R14" s="211" t="s">
        <v>195</v>
      </c>
      <c r="S14" s="211" t="s">
        <v>195</v>
      </c>
      <c r="T14" s="211" t="s">
        <v>195</v>
      </c>
      <c r="U14" s="211" t="s">
        <v>195</v>
      </c>
      <c r="V14" s="211" t="s">
        <v>195</v>
      </c>
    </row>
    <row r="15" spans="2:22" x14ac:dyDescent="0.3">
      <c r="B15" t="s">
        <v>53</v>
      </c>
      <c r="E15" s="211">
        <f>'Statements Summary 2024'!V15</f>
        <v>-16818</v>
      </c>
      <c r="F15" s="211">
        <f>'Statements Summary 2025'!V15</f>
        <v>-16818</v>
      </c>
      <c r="G15" s="211">
        <f>'Statements Summary 2026'!V15</f>
        <v>0</v>
      </c>
      <c r="H15" s="211">
        <f>'Statements Summary 2027'!V15</f>
        <v>0</v>
      </c>
      <c r="I15" s="211">
        <f t="shared" si="0"/>
        <v>0</v>
      </c>
      <c r="K15" s="211" t="s">
        <v>195</v>
      </c>
      <c r="L15" s="211">
        <f>'CF 2028'!H34</f>
        <v>0</v>
      </c>
      <c r="M15" s="211">
        <f>'CF 2028'!I34</f>
        <v>0</v>
      </c>
      <c r="N15" s="211">
        <f>'CF 2028'!J34</f>
        <v>0</v>
      </c>
      <c r="O15" s="211">
        <f>'CF 2028'!K34</f>
        <v>0</v>
      </c>
      <c r="P15" s="211">
        <f>'CF 2028'!L34</f>
        <v>0</v>
      </c>
      <c r="Q15" s="211">
        <f>'CF 2028'!M34</f>
        <v>0</v>
      </c>
      <c r="R15" s="211">
        <f>'CF 2028'!N34</f>
        <v>0</v>
      </c>
      <c r="S15" s="211">
        <f>'CF 2028'!O34</f>
        <v>0</v>
      </c>
      <c r="T15" s="211">
        <f>'CF 2028'!P34</f>
        <v>0</v>
      </c>
      <c r="U15" s="211">
        <f>'CF 2028'!Q34</f>
        <v>0</v>
      </c>
      <c r="V15" s="211">
        <f>'CF 2028'!R34</f>
        <v>0</v>
      </c>
    </row>
    <row r="16" spans="2:22" x14ac:dyDescent="0.3">
      <c r="B16" t="s">
        <v>200</v>
      </c>
      <c r="E16" s="211">
        <f>'Statements Summary 2024'!V16</f>
        <v>290479.59999999998</v>
      </c>
      <c r="F16" s="211">
        <f>'Statements Summary 2025'!V16</f>
        <v>439897.78639999998</v>
      </c>
      <c r="G16" s="211">
        <f>'Statements Summary 2026'!V16</f>
        <v>529128</v>
      </c>
      <c r="H16" s="211">
        <f>'Statements Summary 2027'!V16</f>
        <v>807025.6</v>
      </c>
      <c r="I16" s="211">
        <f t="shared" si="0"/>
        <v>906857.6</v>
      </c>
      <c r="K16" s="211">
        <f>'CF 2028'!G23</f>
        <v>813804.4</v>
      </c>
      <c r="L16" s="211">
        <f>'CF 2028'!H23</f>
        <v>819016.4</v>
      </c>
      <c r="M16" s="211">
        <f>'CF 2028'!I23</f>
        <v>840060.4</v>
      </c>
      <c r="N16" s="211">
        <f>'CF 2028'!J23</f>
        <v>844708.4</v>
      </c>
      <c r="O16" s="211">
        <f>'CF 2028'!K23</f>
        <v>849920.4</v>
      </c>
      <c r="P16" s="211">
        <f>'CF 2028'!L23</f>
        <v>854452.4</v>
      </c>
      <c r="Q16" s="211">
        <f>'CF 2028'!M23</f>
        <v>867460.4</v>
      </c>
      <c r="R16" s="211">
        <f>'CF 2028'!N23</f>
        <v>872368.4</v>
      </c>
      <c r="S16" s="211">
        <f>'CF 2028'!O23</f>
        <v>891340.4</v>
      </c>
      <c r="T16" s="211">
        <f>'CF 2028'!P23</f>
        <v>896552.4</v>
      </c>
      <c r="U16" s="211">
        <f>'CF 2028'!Q23</f>
        <v>902068.4</v>
      </c>
      <c r="V16" s="211">
        <f>'CF 2028'!R23</f>
        <v>906857.6</v>
      </c>
    </row>
    <row r="17" spans="2:22" x14ac:dyDescent="0.3">
      <c r="B17" t="s">
        <v>54</v>
      </c>
      <c r="E17" s="211">
        <f>'Statements Summary 2024'!V17</f>
        <v>564141.19999999995</v>
      </c>
      <c r="F17" s="211">
        <f>'Statements Summary 2025'!V17</f>
        <v>862977.57279999997</v>
      </c>
      <c r="G17" s="211">
        <f>'Statements Summary 2026'!V17</f>
        <v>1058256</v>
      </c>
      <c r="H17" s="211">
        <f>'Statements Summary 2027'!V17</f>
        <v>1614051.2000000002</v>
      </c>
      <c r="I17" s="211">
        <f t="shared" si="0"/>
        <v>1813715.2000000002</v>
      </c>
      <c r="K17" s="211">
        <f>'CF 2028'!G44+'CF 2028'!G21+'CF 2028'!G22</f>
        <v>1627608.7999999998</v>
      </c>
      <c r="L17" s="211">
        <f>'CF 2028'!H44+'CF 2028'!H21+'CF 2028'!H22</f>
        <v>1638032.7999999998</v>
      </c>
      <c r="M17" s="211">
        <f>'CF 2028'!I44+'CF 2028'!I21+'CF 2028'!I22</f>
        <v>1680120.7999999998</v>
      </c>
      <c r="N17" s="211">
        <f>'CF 2028'!J44+'CF 2028'!J21+'CF 2028'!J22</f>
        <v>1689416.7999999998</v>
      </c>
      <c r="O17" s="211">
        <f>'CF 2028'!K44+'CF 2028'!K21+'CF 2028'!K22</f>
        <v>1699840.7999999998</v>
      </c>
      <c r="P17" s="211">
        <f>'CF 2028'!L44+'CF 2028'!L21+'CF 2028'!L22</f>
        <v>1708904.7999999998</v>
      </c>
      <c r="Q17" s="211">
        <f>'CF 2028'!M44+'CF 2028'!M21+'CF 2028'!M22</f>
        <v>1734920.7999999998</v>
      </c>
      <c r="R17" s="211">
        <f>'CF 2028'!N44+'CF 2028'!N21+'CF 2028'!N22</f>
        <v>1744736.7999999998</v>
      </c>
      <c r="S17" s="211">
        <f>'CF 2028'!O44+'CF 2028'!O21+'CF 2028'!O22</f>
        <v>1782680.7999999998</v>
      </c>
      <c r="T17" s="211">
        <f>'CF 2028'!P44+'CF 2028'!P21+'CF 2028'!P22</f>
        <v>1793104.7999999998</v>
      </c>
      <c r="U17" s="211">
        <f>'CF 2028'!Q44+'CF 2028'!Q21+'CF 2028'!Q22</f>
        <v>1804136.7999999998</v>
      </c>
      <c r="V17" s="211">
        <f>'CF 2028'!R44+'CF 2028'!R21+'CF 2028'!R22</f>
        <v>1813715.2000000002</v>
      </c>
    </row>
    <row r="19" spans="2:22" x14ac:dyDescent="0.3">
      <c r="B19" s="181" t="s">
        <v>329</v>
      </c>
      <c r="C19" s="154"/>
      <c r="D19" s="154"/>
      <c r="E19" s="154"/>
      <c r="F19" s="154"/>
      <c r="G19" s="154"/>
      <c r="H19" s="154"/>
      <c r="I19" s="154"/>
      <c r="K19" s="387" t="s">
        <v>330</v>
      </c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</row>
    <row r="42" spans="2:22" x14ac:dyDescent="0.3">
      <c r="B42" s="181" t="s">
        <v>331</v>
      </c>
      <c r="C42" s="181"/>
      <c r="D42" s="181"/>
      <c r="E42" s="181"/>
      <c r="F42" s="154"/>
      <c r="G42" s="154"/>
      <c r="H42" s="154"/>
      <c r="I42" s="154"/>
      <c r="J42" s="154"/>
      <c r="K42" s="387" t="s">
        <v>332</v>
      </c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</row>
    <row r="44" spans="2:22" x14ac:dyDescent="0.3">
      <c r="B44" s="199" t="s">
        <v>27</v>
      </c>
      <c r="C44" s="199"/>
      <c r="D44" s="199"/>
      <c r="E44" s="200">
        <v>2024</v>
      </c>
      <c r="F44" s="200">
        <v>2025</v>
      </c>
      <c r="G44" s="200">
        <v>2026</v>
      </c>
      <c r="H44" s="200">
        <v>2027</v>
      </c>
      <c r="I44" s="200">
        <v>2028</v>
      </c>
      <c r="J44" s="199"/>
      <c r="K44" s="199" t="s">
        <v>32</v>
      </c>
      <c r="L44" s="199" t="s">
        <v>33</v>
      </c>
      <c r="M44" s="199" t="s">
        <v>34</v>
      </c>
      <c r="N44" s="199" t="s">
        <v>35</v>
      </c>
      <c r="O44" s="199" t="s">
        <v>36</v>
      </c>
      <c r="P44" s="199" t="s">
        <v>37</v>
      </c>
      <c r="Q44" s="199" t="s">
        <v>38</v>
      </c>
      <c r="R44" s="199" t="s">
        <v>39</v>
      </c>
      <c r="S44" s="199" t="s">
        <v>40</v>
      </c>
      <c r="T44" s="199" t="s">
        <v>41</v>
      </c>
      <c r="U44" s="199" t="s">
        <v>42</v>
      </c>
      <c r="V44" s="199" t="s">
        <v>43</v>
      </c>
    </row>
    <row r="45" spans="2:22" x14ac:dyDescent="0.3">
      <c r="B45" s="23" t="s">
        <v>2</v>
      </c>
      <c r="C45" s="23"/>
      <c r="D45" s="23"/>
      <c r="E45" s="201">
        <f>'Statements Summary 2024'!V44</f>
        <v>449900</v>
      </c>
      <c r="F45" s="201">
        <f>'Statements Summary 2025'!V45</f>
        <v>586218.73300000001</v>
      </c>
      <c r="G45" s="201">
        <f>'Statements Summary 2026'!V45</f>
        <v>661710</v>
      </c>
      <c r="H45" s="201">
        <f>'Statements Summary 2027'!V45</f>
        <v>994995</v>
      </c>
      <c r="I45" s="201">
        <f t="shared" ref="I45:I65" si="1">V45</f>
        <v>1118310</v>
      </c>
      <c r="K45" s="201">
        <f>'IS 2028'!F17</f>
        <v>1000660</v>
      </c>
      <c r="L45" s="201">
        <f>'IS 2028'!G17</f>
        <v>1007175</v>
      </c>
      <c r="M45" s="201">
        <f>'IS 2028'!H17</f>
        <v>1032005</v>
      </c>
      <c r="N45" s="201">
        <f>'IS 2028'!I17</f>
        <v>1037815</v>
      </c>
      <c r="O45" s="201">
        <f>'IS 2028'!J17</f>
        <v>1044330</v>
      </c>
      <c r="P45" s="201">
        <f>'IS 2028'!K17</f>
        <v>1049995</v>
      </c>
      <c r="Q45" s="201">
        <f>'IS 2028'!L17</f>
        <v>1066255</v>
      </c>
      <c r="R45" s="201">
        <f>'IS 2028'!M17</f>
        <v>1072390</v>
      </c>
      <c r="S45" s="201">
        <f>'IS 2028'!N17</f>
        <v>1096105</v>
      </c>
      <c r="T45" s="201">
        <f>'IS 2028'!O17</f>
        <v>1102620</v>
      </c>
      <c r="U45" s="201">
        <f>'IS 2028'!P17</f>
        <v>1109515</v>
      </c>
      <c r="V45" s="201">
        <f>'IS 2028'!Q17</f>
        <v>1118310</v>
      </c>
    </row>
    <row r="46" spans="2:22" x14ac:dyDescent="0.3">
      <c r="B46" t="s">
        <v>28</v>
      </c>
      <c r="E46" s="1">
        <f>'Statements Summary 2024'!V45</f>
        <v>3.166250445950767E-3</v>
      </c>
      <c r="F46" s="2">
        <f>'Statements Summary 2025'!V46</f>
        <v>5.7256851136311708E-3</v>
      </c>
      <c r="G46" s="2">
        <f>'Statements Summary 2026'!V46</f>
        <v>5.1468251446005212E-2</v>
      </c>
      <c r="H46" s="2">
        <f>'Statements Summary 2027'!V46</f>
        <v>7.9777534646243622E-3</v>
      </c>
      <c r="I46" s="2">
        <f t="shared" si="1"/>
        <v>7.9268869731369106E-3</v>
      </c>
      <c r="K46" s="2"/>
      <c r="L46" s="2">
        <f t="shared" ref="L46" si="2">(L45-K45)/K45</f>
        <v>6.5107029360621993E-3</v>
      </c>
      <c r="M46" s="2">
        <f>(M45-L45)/L45</f>
        <v>2.4653113907712167E-2</v>
      </c>
      <c r="N46" s="2">
        <f>(N45-M45)/M45</f>
        <v>5.6298176849918363E-3</v>
      </c>
      <c r="O46" s="2">
        <f t="shared" ref="O46:T46" si="3">(O45-N45)/N45</f>
        <v>6.2776120984953969E-3</v>
      </c>
      <c r="P46" s="2">
        <f t="shared" si="3"/>
        <v>5.4245305602635182E-3</v>
      </c>
      <c r="Q46" s="2">
        <f t="shared" si="3"/>
        <v>1.5485788027562036E-2</v>
      </c>
      <c r="R46" s="2">
        <f t="shared" si="3"/>
        <v>5.7537831006654128E-3</v>
      </c>
      <c r="S46" s="2">
        <f t="shared" si="3"/>
        <v>2.2114156230475853E-2</v>
      </c>
      <c r="T46" s="2">
        <f t="shared" si="3"/>
        <v>5.9437736348251311E-3</v>
      </c>
      <c r="U46" s="2">
        <f>(U45-T45)/T45</f>
        <v>6.253287624022782E-3</v>
      </c>
      <c r="V46" s="2">
        <f t="shared" ref="V46" si="4">(V45-U45)/U45</f>
        <v>7.9268869731369106E-3</v>
      </c>
    </row>
    <row r="47" spans="2:22" x14ac:dyDescent="0.3">
      <c r="B47" t="s">
        <v>3</v>
      </c>
      <c r="E47" s="1">
        <f>'Statements Summary 2024'!V46</f>
        <v>-10390</v>
      </c>
      <c r="F47" s="1">
        <f>'Statements Summary 2025'!V47</f>
        <v>-10390</v>
      </c>
      <c r="G47" s="1">
        <f>'Statements Summary 2026'!V47</f>
        <v>8610</v>
      </c>
      <c r="H47" s="1">
        <f>'Statements Summary 2027'!V47</f>
        <v>-32544</v>
      </c>
      <c r="I47" s="1">
        <f t="shared" si="1"/>
        <v>-38444</v>
      </c>
      <c r="K47" s="1">
        <f>'IS 2028'!F18</f>
        <v>-32544</v>
      </c>
      <c r="L47" s="1">
        <f>'IS 2028'!G18</f>
        <v>-32544</v>
      </c>
      <c r="M47" s="1">
        <f>'IS 2028'!H18</f>
        <v>-38444</v>
      </c>
      <c r="N47" s="1">
        <f>'IS 2028'!I18</f>
        <v>-38444</v>
      </c>
      <c r="O47" s="1">
        <f>'IS 2028'!J18</f>
        <v>-38444</v>
      </c>
      <c r="P47" s="1">
        <f>'IS 2028'!K18</f>
        <v>-38444</v>
      </c>
      <c r="Q47" s="1">
        <f>'IS 2028'!L18</f>
        <v>-38444</v>
      </c>
      <c r="R47" s="1">
        <f>'IS 2028'!M18</f>
        <v>-38444</v>
      </c>
      <c r="S47" s="1">
        <f>'IS 2028'!N18</f>
        <v>-38444</v>
      </c>
      <c r="T47" s="1">
        <f>'IS 2028'!O18</f>
        <v>-38444</v>
      </c>
      <c r="U47" s="1">
        <f>'IS 2028'!P18</f>
        <v>-38444</v>
      </c>
      <c r="V47" s="1">
        <f>'IS 2028'!Q18</f>
        <v>-38444</v>
      </c>
    </row>
    <row r="48" spans="2:22" x14ac:dyDescent="0.3">
      <c r="B48" t="s">
        <v>29</v>
      </c>
      <c r="E48" s="2">
        <f>'Statements Summary 2024'!V47</f>
        <v>-2.3094020893531898E-2</v>
      </c>
      <c r="F48" s="2">
        <f>'Statements Summary 2025'!V48</f>
        <v>-1.772375977619944E-2</v>
      </c>
      <c r="G48" s="2">
        <f>'Statements Summary 2026'!V48</f>
        <v>1.3011742304030467E-2</v>
      </c>
      <c r="H48" s="2">
        <f>'Statements Summary 2027'!V48</f>
        <v>-3.2707702048754013E-2</v>
      </c>
      <c r="I48" s="2">
        <f t="shared" si="1"/>
        <v>-3.4376872244726416E-2</v>
      </c>
      <c r="K48" s="2">
        <f>K47/K45</f>
        <v>-3.2522535126816299E-2</v>
      </c>
      <c r="L48" s="2">
        <f t="shared" ref="L48:V48" si="5">L47/L45</f>
        <v>-3.231216025020478E-2</v>
      </c>
      <c r="M48" s="2">
        <f t="shared" si="5"/>
        <v>-3.7251757501174897E-2</v>
      </c>
      <c r="N48" s="2">
        <f t="shared" si="5"/>
        <v>-3.7043210976908214E-2</v>
      </c>
      <c r="O48" s="2">
        <f t="shared" si="5"/>
        <v>-3.6812118774716802E-2</v>
      </c>
      <c r="P48" s="2">
        <f t="shared" si="5"/>
        <v>-3.661350768336992E-2</v>
      </c>
      <c r="Q48" s="2">
        <f t="shared" si="5"/>
        <v>-3.6055165040257728E-2</v>
      </c>
      <c r="R48" s="2">
        <f t="shared" si="5"/>
        <v>-3.5848898255298911E-2</v>
      </c>
      <c r="S48" s="2">
        <f t="shared" si="5"/>
        <v>-3.5073282212926681E-2</v>
      </c>
      <c r="T48" s="2">
        <f t="shared" si="5"/>
        <v>-3.486604632602347E-2</v>
      </c>
      <c r="U48" s="2">
        <f t="shared" si="5"/>
        <v>-3.4649373825500332E-2</v>
      </c>
      <c r="V48" s="2">
        <f t="shared" si="5"/>
        <v>-3.4376872244726416E-2</v>
      </c>
    </row>
    <row r="49" spans="2:22" x14ac:dyDescent="0.3">
      <c r="B49" t="s">
        <v>4</v>
      </c>
      <c r="E49" s="1">
        <f>'Statements Summary 2024'!V48</f>
        <v>439510</v>
      </c>
      <c r="F49" s="1">
        <f>'Statements Summary 2025'!V49</f>
        <v>575828.73300000001</v>
      </c>
      <c r="G49" s="1">
        <f>'Statements Summary 2026'!V49</f>
        <v>670320</v>
      </c>
      <c r="H49" s="1">
        <f>'Statements Summary 2027'!V49</f>
        <v>962451</v>
      </c>
      <c r="I49" s="1">
        <f t="shared" si="1"/>
        <v>1079866</v>
      </c>
      <c r="K49" s="1">
        <f>'IS 2028'!F26</f>
        <v>968116</v>
      </c>
      <c r="L49" s="1">
        <f>'IS 2028'!G26</f>
        <v>974631</v>
      </c>
      <c r="M49" s="1">
        <f>'IS 2028'!H26</f>
        <v>993561</v>
      </c>
      <c r="N49" s="1">
        <f>'IS 2028'!I26</f>
        <v>999371</v>
      </c>
      <c r="O49" s="1">
        <f>'IS 2028'!J26</f>
        <v>1005886</v>
      </c>
      <c r="P49" s="1">
        <f>'IS 2028'!K26</f>
        <v>1011551</v>
      </c>
      <c r="Q49" s="1">
        <f>'IS 2028'!L26</f>
        <v>1027811</v>
      </c>
      <c r="R49" s="1">
        <f>'IS 2028'!M26</f>
        <v>1033946</v>
      </c>
      <c r="S49" s="1">
        <f>'IS 2028'!N26</f>
        <v>1057661</v>
      </c>
      <c r="T49" s="1">
        <f>'IS 2028'!O26</f>
        <v>1064176</v>
      </c>
      <c r="U49" s="1">
        <f>'IS 2028'!P26</f>
        <v>1071071</v>
      </c>
      <c r="V49" s="1">
        <f>'IS 2028'!Q26</f>
        <v>1079866</v>
      </c>
    </row>
    <row r="50" spans="2:22" x14ac:dyDescent="0.3">
      <c r="B50" t="s">
        <v>30</v>
      </c>
      <c r="E50" s="2">
        <f>'Statements Summary 2024'!V49</f>
        <v>0.97690597910646815</v>
      </c>
      <c r="F50" s="2">
        <f>'Statements Summary 2025'!V50</f>
        <v>0.98227624022380056</v>
      </c>
      <c r="G50" s="2">
        <f>'Statements Summary 2026'!V50</f>
        <v>1.0130117423040306</v>
      </c>
      <c r="H50" s="2">
        <f>'Statements Summary 2027'!V50</f>
        <v>0.96729229795124594</v>
      </c>
      <c r="I50" s="2">
        <f t="shared" si="1"/>
        <v>0.96562312775527359</v>
      </c>
      <c r="K50" s="2">
        <f>K49/K45</f>
        <v>0.96747746487318365</v>
      </c>
      <c r="L50" s="2">
        <f t="shared" ref="L50:V50" si="6">L49/L45</f>
        <v>0.96768783974979522</v>
      </c>
      <c r="M50" s="2">
        <f t="shared" si="6"/>
        <v>0.96274824249882507</v>
      </c>
      <c r="N50" s="2">
        <f t="shared" si="6"/>
        <v>0.96295678902309179</v>
      </c>
      <c r="O50" s="2">
        <f t="shared" si="6"/>
        <v>0.9631878812252832</v>
      </c>
      <c r="P50" s="2">
        <f t="shared" si="6"/>
        <v>0.96338649231663009</v>
      </c>
      <c r="Q50" s="2">
        <f t="shared" si="6"/>
        <v>0.96394483495974226</v>
      </c>
      <c r="R50" s="2">
        <f t="shared" si="6"/>
        <v>0.96415110174470109</v>
      </c>
      <c r="S50" s="2">
        <f t="shared" si="6"/>
        <v>0.96492671778707328</v>
      </c>
      <c r="T50" s="2">
        <f t="shared" si="6"/>
        <v>0.96513395367397647</v>
      </c>
      <c r="U50" s="2">
        <f t="shared" si="6"/>
        <v>0.96535062617449963</v>
      </c>
      <c r="V50" s="2">
        <f t="shared" si="6"/>
        <v>0.96562312775527359</v>
      </c>
    </row>
    <row r="51" spans="2:22" x14ac:dyDescent="0.3">
      <c r="B51" t="s">
        <v>6</v>
      </c>
      <c r="E51" s="1">
        <f>'Statements Summary 2024'!V50</f>
        <v>-2285</v>
      </c>
      <c r="F51" s="1">
        <f>'Statements Summary 2025'!V51</f>
        <v>-2285</v>
      </c>
      <c r="G51" s="1">
        <f>'Statements Summary 2026'!V51</f>
        <v>-2285</v>
      </c>
      <c r="H51" s="1">
        <f>'Statements Summary 2027'!V51</f>
        <v>-17479</v>
      </c>
      <c r="I51" s="1">
        <f t="shared" si="1"/>
        <v>-17479</v>
      </c>
      <c r="K51" s="1">
        <f>'IS 2028'!F37</f>
        <v>-28713</v>
      </c>
      <c r="L51" s="1">
        <f>'IS 2028'!G37</f>
        <v>-28713</v>
      </c>
      <c r="M51" s="1">
        <f>'IS 2028'!H37</f>
        <v>-28713</v>
      </c>
      <c r="N51" s="1">
        <f>'IS 2028'!I37</f>
        <v>-28713</v>
      </c>
      <c r="O51" s="1">
        <f>'IS 2028'!J37</f>
        <v>-28713</v>
      </c>
      <c r="P51" s="1">
        <f>'IS 2028'!K37</f>
        <v>-28713</v>
      </c>
      <c r="Q51" s="1">
        <f>'IS 2028'!L37</f>
        <v>-28713</v>
      </c>
      <c r="R51" s="1">
        <f>'IS 2028'!M37</f>
        <v>-28713</v>
      </c>
      <c r="S51" s="1">
        <f>'IS 2028'!N37</f>
        <v>-28713</v>
      </c>
      <c r="T51" s="1">
        <f>'IS 2028'!O37</f>
        <v>-28713</v>
      </c>
      <c r="U51" s="1">
        <f>'IS 2028'!P37</f>
        <v>-28713</v>
      </c>
      <c r="V51" s="1">
        <f>'IS 2028'!Q37</f>
        <v>-17479</v>
      </c>
    </row>
    <row r="52" spans="2:22" x14ac:dyDescent="0.3">
      <c r="B52" t="s">
        <v>29</v>
      </c>
      <c r="E52" s="2">
        <f>'Statements Summary 2024'!V51</f>
        <v>-5.0789064236496997E-3</v>
      </c>
      <c r="F52" s="2">
        <f>'Statements Summary 2025'!V52</f>
        <v>-3.8978624724365471E-3</v>
      </c>
      <c r="G52" s="2">
        <f>'Statements Summary 2026'!V52</f>
        <v>-3.4531743513019296E-3</v>
      </c>
      <c r="H52" s="2">
        <f>'Statements Summary 2027'!V52</f>
        <v>-1.7566922446846468E-2</v>
      </c>
      <c r="I52" s="2">
        <f t="shared" si="1"/>
        <v>-1.5629834303547318E-2</v>
      </c>
      <c r="K52" s="2">
        <f>K51/K45</f>
        <v>-2.8694061919133373E-2</v>
      </c>
      <c r="L52" s="2">
        <f t="shared" ref="L52:V52" si="7">L51/L45</f>
        <v>-2.8508451857919427E-2</v>
      </c>
      <c r="M52" s="2">
        <f t="shared" si="7"/>
        <v>-2.7822539619478587E-2</v>
      </c>
      <c r="N52" s="2">
        <f t="shared" si="7"/>
        <v>-2.7666780688272958E-2</v>
      </c>
      <c r="O52" s="2">
        <f t="shared" si="7"/>
        <v>-2.7494182873229727E-2</v>
      </c>
      <c r="P52" s="2">
        <f t="shared" si="7"/>
        <v>-2.7345844504021447E-2</v>
      </c>
      <c r="Q52" s="2">
        <f t="shared" si="7"/>
        <v>-2.6928830345461452E-2</v>
      </c>
      <c r="R52" s="2">
        <f t="shared" si="7"/>
        <v>-2.6774774102705172E-2</v>
      </c>
      <c r="S52" s="2">
        <f t="shared" si="7"/>
        <v>-2.6195483096966076E-2</v>
      </c>
      <c r="T52" s="2">
        <f t="shared" si="7"/>
        <v>-2.6040703052728955E-2</v>
      </c>
      <c r="U52" s="2">
        <f t="shared" si="7"/>
        <v>-2.5878875003943164E-2</v>
      </c>
      <c r="V52" s="2">
        <f t="shared" si="7"/>
        <v>-1.5629834303547318E-2</v>
      </c>
    </row>
    <row r="53" spans="2:22" x14ac:dyDescent="0.3">
      <c r="B53" t="s">
        <v>196</v>
      </c>
      <c r="E53" s="1">
        <f>'Statements Summary 2024'!V52</f>
        <v>-4063</v>
      </c>
      <c r="F53" s="1">
        <f>'Statements Summary 2025'!V53</f>
        <v>-4063</v>
      </c>
      <c r="G53" s="1">
        <f>'Statements Summary 2026'!V53</f>
        <v>-45063</v>
      </c>
      <c r="H53" s="1">
        <f>'Statements Summary 2027'!V53</f>
        <v>-45063</v>
      </c>
      <c r="I53" s="1">
        <f t="shared" si="1"/>
        <v>-45063</v>
      </c>
      <c r="K53" s="1">
        <f>'IS 2028'!F38</f>
        <v>-45063</v>
      </c>
      <c r="L53" s="1">
        <f>'IS 2028'!G38</f>
        <v>-45063</v>
      </c>
      <c r="M53" s="1">
        <f>'IS 2028'!H38</f>
        <v>-45063</v>
      </c>
      <c r="N53" s="1">
        <f>'IS 2028'!I38</f>
        <v>-45063</v>
      </c>
      <c r="O53" s="1">
        <f>'IS 2028'!J38</f>
        <v>-45063</v>
      </c>
      <c r="P53" s="1">
        <f>'IS 2028'!K38</f>
        <v>-45063</v>
      </c>
      <c r="Q53" s="1">
        <f>'IS 2028'!L38</f>
        <v>-45063</v>
      </c>
      <c r="R53" s="1">
        <f>'IS 2028'!M38</f>
        <v>-45063</v>
      </c>
      <c r="S53" s="1">
        <f>'IS 2028'!N38</f>
        <v>-45063</v>
      </c>
      <c r="T53" s="1">
        <f>'IS 2028'!O38</f>
        <v>-45063</v>
      </c>
      <c r="U53" s="1">
        <f>'IS 2028'!P38</f>
        <v>-45063</v>
      </c>
      <c r="V53" s="1">
        <f>'IS 2028'!Q38</f>
        <v>-45063</v>
      </c>
    </row>
    <row r="54" spans="2:22" x14ac:dyDescent="0.3">
      <c r="B54" t="s">
        <v>29</v>
      </c>
      <c r="E54" s="2">
        <f>'Statements Summary 2024'!V53</f>
        <v>-9.0308957546121355E-3</v>
      </c>
      <c r="F54" s="2">
        <f>'Statements Summary 2025'!V54</f>
        <v>-6.9308600549276541E-3</v>
      </c>
      <c r="G54" s="2">
        <f>'Statements Summary 2026'!V54</f>
        <v>-6.8100829668585938E-2</v>
      </c>
      <c r="H54" s="2">
        <f>'Statements Summary 2027'!V54</f>
        <v>-4.5289674822486546E-2</v>
      </c>
      <c r="I54" s="2">
        <f t="shared" si="1"/>
        <v>-4.0295624647906217E-2</v>
      </c>
      <c r="K54" s="2">
        <f>K53/K45</f>
        <v>-4.5033278036495913E-2</v>
      </c>
      <c r="L54" s="2">
        <f t="shared" ref="L54:V54" si="8">L53/L45</f>
        <v>-4.4741976319904682E-2</v>
      </c>
      <c r="M54" s="2">
        <f t="shared" si="8"/>
        <v>-4.3665486116830826E-2</v>
      </c>
      <c r="N54" s="2">
        <f t="shared" si="8"/>
        <v>-4.3421033613890721E-2</v>
      </c>
      <c r="O54" s="2">
        <f t="shared" si="8"/>
        <v>-4.3150153687052946E-2</v>
      </c>
      <c r="P54" s="2">
        <f t="shared" si="8"/>
        <v>-4.2917347225462976E-2</v>
      </c>
      <c r="Q54" s="2">
        <f t="shared" si="8"/>
        <v>-4.2262873327674901E-2</v>
      </c>
      <c r="R54" s="2">
        <f t="shared" si="8"/>
        <v>-4.202109307248296E-2</v>
      </c>
      <c r="S54" s="2">
        <f t="shared" si="8"/>
        <v>-4.1111937268783559E-2</v>
      </c>
      <c r="T54" s="2">
        <f t="shared" si="8"/>
        <v>-4.0869021058932364E-2</v>
      </c>
      <c r="U54" s="2">
        <f t="shared" si="8"/>
        <v>-4.061504351000212E-2</v>
      </c>
      <c r="V54" s="2">
        <f t="shared" si="8"/>
        <v>-4.0295624647906217E-2</v>
      </c>
    </row>
    <row r="55" spans="2:22" x14ac:dyDescent="0.3">
      <c r="B55" t="s">
        <v>31</v>
      </c>
      <c r="E55" s="1">
        <f>'Statements Summary 2024'!V54</f>
        <v>-8250</v>
      </c>
      <c r="F55" s="1">
        <f>'Statements Summary 2025'!V55</f>
        <v>-8250</v>
      </c>
      <c r="G55" s="1">
        <f>'Statements Summary 2026'!V55</f>
        <v>-8250</v>
      </c>
      <c r="H55" s="1">
        <f>'Statements Summary 2027'!V55</f>
        <v>-8250</v>
      </c>
      <c r="I55" s="1">
        <f t="shared" si="1"/>
        <v>-8250</v>
      </c>
      <c r="K55" s="1">
        <f>'IS 2028'!F56</f>
        <v>-8250</v>
      </c>
      <c r="L55" s="1">
        <f>'IS 2028'!G56</f>
        <v>-8250</v>
      </c>
      <c r="M55" s="1">
        <f>'IS 2028'!H56</f>
        <v>-8250</v>
      </c>
      <c r="N55" s="1">
        <f>'IS 2028'!I56</f>
        <v>-8250</v>
      </c>
      <c r="O55" s="1">
        <f>'IS 2028'!J56</f>
        <v>-8250</v>
      </c>
      <c r="P55" s="1">
        <f>'IS 2028'!K56</f>
        <v>-8250</v>
      </c>
      <c r="Q55" s="1">
        <f>'IS 2028'!L56</f>
        <v>-8250</v>
      </c>
      <c r="R55" s="1">
        <f>'IS 2028'!M56</f>
        <v>-8250</v>
      </c>
      <c r="S55" s="1">
        <f>'IS 2028'!N56</f>
        <v>-8250</v>
      </c>
      <c r="T55" s="1">
        <f>'IS 2028'!O56</f>
        <v>-8250</v>
      </c>
      <c r="U55" s="1">
        <f>'IS 2028'!P56</f>
        <v>-8250</v>
      </c>
      <c r="V55" s="1">
        <f>'IS 2028'!Q56</f>
        <v>-8250</v>
      </c>
    </row>
    <row r="56" spans="2:22" x14ac:dyDescent="0.3">
      <c r="B56" t="s">
        <v>29</v>
      </c>
      <c r="E56" s="2">
        <f>'Statements Summary 2024'!V55</f>
        <v>-1.8337408312958436E-2</v>
      </c>
      <c r="F56" s="2">
        <f>'Statements Summary 2025'!V56</f>
        <v>-1.4073245250591471E-2</v>
      </c>
      <c r="G56" s="2">
        <f>'Statements Summary 2026'!V56</f>
        <v>-1.2467697329645918E-2</v>
      </c>
      <c r="H56" s="2">
        <f>'Statements Summary 2027'!V56</f>
        <v>-8.291498952256041E-3</v>
      </c>
      <c r="I56" s="2">
        <f t="shared" si="1"/>
        <v>-7.3772031011079221E-3</v>
      </c>
      <c r="K56" s="2">
        <f>K55/K45</f>
        <v>-8.2445585913297221E-3</v>
      </c>
      <c r="L56" s="2">
        <f t="shared" ref="L56:V56" si="9">L55/L45</f>
        <v>-8.1912279395338454E-3</v>
      </c>
      <c r="M56" s="2">
        <f t="shared" si="9"/>
        <v>-7.9941473151777364E-3</v>
      </c>
      <c r="N56" s="2">
        <f t="shared" si="9"/>
        <v>-7.9493936780640102E-3</v>
      </c>
      <c r="O56" s="2">
        <f t="shared" si="9"/>
        <v>-7.8998017867915309E-3</v>
      </c>
      <c r="P56" s="2">
        <f t="shared" si="9"/>
        <v>-7.8571802722870107E-3</v>
      </c>
      <c r="Q56" s="2">
        <f t="shared" si="9"/>
        <v>-7.7373611378141255E-3</v>
      </c>
      <c r="R56" s="2">
        <f t="shared" si="9"/>
        <v>-7.693096727869525E-3</v>
      </c>
      <c r="S56" s="2">
        <f t="shared" si="9"/>
        <v>-7.5266511876143256E-3</v>
      </c>
      <c r="T56" s="2">
        <f t="shared" si="9"/>
        <v>-7.4821788104696089E-3</v>
      </c>
      <c r="U56" s="2">
        <f t="shared" si="9"/>
        <v>-7.4356813562682792E-3</v>
      </c>
      <c r="V56" s="2">
        <f t="shared" si="9"/>
        <v>-7.3772031011079221E-3</v>
      </c>
    </row>
    <row r="57" spans="2:22" x14ac:dyDescent="0.3">
      <c r="B57" s="23" t="s">
        <v>10</v>
      </c>
      <c r="C57" s="23"/>
      <c r="D57" s="23"/>
      <c r="E57" s="201">
        <f>'Statements Summary 2024'!V56</f>
        <v>428975</v>
      </c>
      <c r="F57" s="201">
        <f>'Statements Summary 2025'!V57</f>
        <v>565293.73300000001</v>
      </c>
      <c r="G57" s="201">
        <f>'Statements Summary 2026'!V57</f>
        <v>659785</v>
      </c>
      <c r="H57" s="201">
        <f>'Statements Summary 2027'!V57</f>
        <v>936722</v>
      </c>
      <c r="I57" s="201">
        <f t="shared" si="1"/>
        <v>1054137</v>
      </c>
      <c r="K57" s="201">
        <f>'IS 2028'!F57</f>
        <v>931153</v>
      </c>
      <c r="L57" s="201">
        <f>'IS 2028'!G57</f>
        <v>937668</v>
      </c>
      <c r="M57" s="201">
        <f>'IS 2028'!H57</f>
        <v>956598</v>
      </c>
      <c r="N57" s="201">
        <f>'IS 2028'!I57</f>
        <v>962408</v>
      </c>
      <c r="O57" s="201">
        <f>'IS 2028'!J57</f>
        <v>968923</v>
      </c>
      <c r="P57" s="201">
        <f>'IS 2028'!K57</f>
        <v>974588</v>
      </c>
      <c r="Q57" s="201">
        <f>'IS 2028'!L57</f>
        <v>990848</v>
      </c>
      <c r="R57" s="201">
        <f>'IS 2028'!M57</f>
        <v>996983</v>
      </c>
      <c r="S57" s="201">
        <f>'IS 2028'!N57</f>
        <v>1020698</v>
      </c>
      <c r="T57" s="201">
        <f>'IS 2028'!O57</f>
        <v>1027213</v>
      </c>
      <c r="U57" s="201">
        <f>'IS 2028'!P57</f>
        <v>1034108</v>
      </c>
      <c r="V57" s="201">
        <f>'IS 2028'!Q57</f>
        <v>1054137</v>
      </c>
    </row>
    <row r="58" spans="2:22" x14ac:dyDescent="0.3">
      <c r="B58" t="s">
        <v>22</v>
      </c>
      <c r="E58" s="2">
        <f>'Statements Summary 2024'!V57</f>
        <v>0.95348966436985994</v>
      </c>
      <c r="F58" s="2">
        <f>'Statements Summary 2025'!V58</f>
        <v>0.96430513250077254</v>
      </c>
      <c r="G58" s="2">
        <f>'Statements Summary 2026'!V58</f>
        <v>0.99709087062308266</v>
      </c>
      <c r="H58" s="2">
        <f>'Statements Summary 2027'!V58</f>
        <v>0.9414338765521435</v>
      </c>
      <c r="I58" s="2">
        <f t="shared" si="1"/>
        <v>0.94261609035061833</v>
      </c>
      <c r="K58" s="2">
        <f>K57/K45</f>
        <v>0.93053884436272061</v>
      </c>
      <c r="L58" s="2">
        <f t="shared" ref="L58:V58" si="10">L57/L45</f>
        <v>0.93098815995234196</v>
      </c>
      <c r="M58" s="2">
        <f t="shared" si="10"/>
        <v>0.92693155556416873</v>
      </c>
      <c r="N58" s="2">
        <f t="shared" si="10"/>
        <v>0.92734061465675477</v>
      </c>
      <c r="O58" s="2">
        <f t="shared" si="10"/>
        <v>0.9277938965652619</v>
      </c>
      <c r="P58" s="2">
        <f t="shared" si="10"/>
        <v>0.92818346754032166</v>
      </c>
      <c r="Q58" s="2">
        <f t="shared" si="10"/>
        <v>0.92927864347646671</v>
      </c>
      <c r="R58" s="2">
        <f t="shared" si="10"/>
        <v>0.92968323091412641</v>
      </c>
      <c r="S58" s="2">
        <f t="shared" si="10"/>
        <v>0.93120458350249291</v>
      </c>
      <c r="T58" s="2">
        <f t="shared" si="10"/>
        <v>0.93161107181077796</v>
      </c>
      <c r="U58" s="2">
        <f t="shared" si="10"/>
        <v>0.93203606981428821</v>
      </c>
      <c r="V58" s="2">
        <f t="shared" si="10"/>
        <v>0.94261609035061833</v>
      </c>
    </row>
    <row r="59" spans="2:22" x14ac:dyDescent="0.3">
      <c r="B59" t="s">
        <v>11</v>
      </c>
      <c r="E59" s="1">
        <f>'Statements Summary 2024'!V58</f>
        <v>-1711</v>
      </c>
      <c r="F59" s="1">
        <f>'Statements Summary 2025'!V59</f>
        <v>-1850</v>
      </c>
      <c r="G59" s="1">
        <f>'Statements Summary 2026'!V59</f>
        <v>-1911</v>
      </c>
      <c r="H59" s="1">
        <f>'Statements Summary 2027'!V59</f>
        <v>-1756</v>
      </c>
      <c r="I59" s="1">
        <f t="shared" si="1"/>
        <v>-1800</v>
      </c>
      <c r="K59">
        <f>'IS 2028'!F58</f>
        <v>-1756</v>
      </c>
      <c r="L59">
        <f>'IS 2028'!G58</f>
        <v>-1756</v>
      </c>
      <c r="M59">
        <f>'IS 2028'!H58</f>
        <v>-1756</v>
      </c>
      <c r="N59">
        <f>'IS 2028'!I58</f>
        <v>-1756</v>
      </c>
      <c r="O59">
        <f>'IS 2028'!J58</f>
        <v>-1756</v>
      </c>
      <c r="P59">
        <f>'IS 2028'!K58</f>
        <v>-1756</v>
      </c>
      <c r="Q59">
        <f>'IS 2028'!L58</f>
        <v>-1756</v>
      </c>
      <c r="R59">
        <f>'IS 2028'!M58</f>
        <v>-1800</v>
      </c>
      <c r="S59">
        <f>'IS 2028'!N58</f>
        <v>-1800</v>
      </c>
      <c r="T59">
        <f>'IS 2028'!O58</f>
        <v>-1800</v>
      </c>
      <c r="U59">
        <f>'IS 2028'!P58</f>
        <v>-1800</v>
      </c>
      <c r="V59">
        <f>'IS 2028'!Q58</f>
        <v>-1800</v>
      </c>
    </row>
    <row r="60" spans="2:22" x14ac:dyDescent="0.3">
      <c r="B60" t="s">
        <v>12</v>
      </c>
      <c r="E60" s="1">
        <f>'Statements Summary 2024'!V59</f>
        <v>427264</v>
      </c>
      <c r="F60" s="1">
        <f>'Statements Summary 2025'!V60</f>
        <v>563443.73300000001</v>
      </c>
      <c r="G60" s="1">
        <f>'Statements Summary 2026'!V60</f>
        <v>661696</v>
      </c>
      <c r="H60" s="1">
        <f>'Statements Summary 2027'!V60</f>
        <v>934966</v>
      </c>
      <c r="I60" s="1">
        <f t="shared" si="1"/>
        <v>1052337</v>
      </c>
      <c r="K60" s="1">
        <f>'IS 2028'!F59</f>
        <v>929397</v>
      </c>
      <c r="L60" s="1">
        <f>'IS 2028'!G59</f>
        <v>935912</v>
      </c>
      <c r="M60" s="1">
        <f>'IS 2028'!H59</f>
        <v>954842</v>
      </c>
      <c r="N60" s="1">
        <f>'IS 2028'!I59</f>
        <v>960652</v>
      </c>
      <c r="O60" s="1">
        <f>'IS 2028'!J59</f>
        <v>967167</v>
      </c>
      <c r="P60" s="1">
        <f>'IS 2028'!K59</f>
        <v>972832</v>
      </c>
      <c r="Q60" s="1">
        <f>'IS 2028'!L59</f>
        <v>989092</v>
      </c>
      <c r="R60" s="1">
        <f>'IS 2028'!M59</f>
        <v>995183</v>
      </c>
      <c r="S60" s="1">
        <f>'IS 2028'!N59</f>
        <v>1018898</v>
      </c>
      <c r="T60" s="1">
        <f>'IS 2028'!O59</f>
        <v>1025413</v>
      </c>
      <c r="U60" s="1">
        <f>'IS 2028'!P59</f>
        <v>1032308</v>
      </c>
      <c r="V60" s="1">
        <f>'IS 2028'!Q59</f>
        <v>1052337</v>
      </c>
    </row>
    <row r="61" spans="2:22" x14ac:dyDescent="0.3">
      <c r="B61" t="s">
        <v>13</v>
      </c>
      <c r="E61" s="1">
        <f>'Statements Summary 2024'!V60</f>
        <v>-73000.400000000009</v>
      </c>
      <c r="F61" s="1">
        <f>'Statements Summary 2025'!V61</f>
        <v>-32637.200000000001</v>
      </c>
      <c r="G61" s="1">
        <f>'Statements Summary 2026'!V61</f>
        <v>0</v>
      </c>
      <c r="H61" s="1">
        <f>'Statements Summary 2027'!V61</f>
        <v>0</v>
      </c>
      <c r="I61" s="1">
        <f t="shared" si="1"/>
        <v>0</v>
      </c>
      <c r="K61" s="1">
        <f>'IS 2028'!F60</f>
        <v>0</v>
      </c>
      <c r="L61" s="1">
        <f>'IS 2028'!G60</f>
        <v>0</v>
      </c>
      <c r="M61" s="1">
        <f>'IS 2028'!H60</f>
        <v>0</v>
      </c>
      <c r="N61" s="1">
        <f>'IS 2028'!I60</f>
        <v>0</v>
      </c>
      <c r="O61" s="1">
        <f>'IS 2028'!J60</f>
        <v>0</v>
      </c>
      <c r="P61" s="1">
        <f>'IS 2028'!K60</f>
        <v>0</v>
      </c>
      <c r="Q61" s="1">
        <f>'IS 2028'!L60</f>
        <v>0</v>
      </c>
      <c r="R61" s="1">
        <f>'IS 2028'!M60</f>
        <v>0</v>
      </c>
      <c r="S61" s="1">
        <f>'IS 2028'!N60</f>
        <v>0</v>
      </c>
      <c r="T61" s="1">
        <f>'IS 2028'!O60</f>
        <v>0</v>
      </c>
      <c r="U61" s="1">
        <f>'IS 2028'!P60</f>
        <v>0</v>
      </c>
      <c r="V61" s="1">
        <f>'IS 2028'!Q60</f>
        <v>0</v>
      </c>
    </row>
    <row r="62" spans="2:22" x14ac:dyDescent="0.3">
      <c r="B62" t="s">
        <v>14</v>
      </c>
      <c r="E62" s="1">
        <f>'Statements Summary 2024'!V61</f>
        <v>428975</v>
      </c>
      <c r="F62" s="1">
        <f>'Statements Summary 2025'!V62</f>
        <v>565293.73300000001</v>
      </c>
      <c r="G62" s="1">
        <f>'Statements Summary 2026'!V62</f>
        <v>659785</v>
      </c>
      <c r="H62" s="1">
        <f>'Statements Summary 2027'!V62</f>
        <v>936722</v>
      </c>
      <c r="I62" s="1">
        <f t="shared" si="1"/>
        <v>1054137</v>
      </c>
      <c r="K62" s="1">
        <f>'IS 2028'!F61</f>
        <v>931153</v>
      </c>
      <c r="L62" s="1">
        <f>'IS 2028'!G61</f>
        <v>937668</v>
      </c>
      <c r="M62" s="1">
        <f>'IS 2028'!H61</f>
        <v>956598</v>
      </c>
      <c r="N62" s="1">
        <f>'IS 2028'!I61</f>
        <v>962408</v>
      </c>
      <c r="O62" s="1">
        <f>'IS 2028'!J61</f>
        <v>968923</v>
      </c>
      <c r="P62" s="1">
        <f>'IS 2028'!K61</f>
        <v>974588</v>
      </c>
      <c r="Q62" s="1">
        <f>'IS 2028'!L61</f>
        <v>990848</v>
      </c>
      <c r="R62" s="1">
        <f>'IS 2028'!M61</f>
        <v>996983</v>
      </c>
      <c r="S62" s="1">
        <f>'IS 2028'!N61</f>
        <v>1020698</v>
      </c>
      <c r="T62" s="1">
        <f>'IS 2028'!O61</f>
        <v>1027213</v>
      </c>
      <c r="U62" s="1">
        <f>'IS 2028'!P61</f>
        <v>1034108</v>
      </c>
      <c r="V62" s="1">
        <f>'IS 2028'!Q61</f>
        <v>1054137</v>
      </c>
    </row>
    <row r="63" spans="2:22" x14ac:dyDescent="0.3">
      <c r="B63" t="s">
        <v>15</v>
      </c>
      <c r="E63" s="1">
        <f>'Statements Summary 2024'!V62</f>
        <v>-85795</v>
      </c>
      <c r="F63" s="1">
        <f>'Statements Summary 2025'!V63</f>
        <v>-113058.74660000001</v>
      </c>
      <c r="G63" s="1">
        <f>'Statements Summary 2026'!V63</f>
        <v>-131957</v>
      </c>
      <c r="H63" s="1">
        <f>'Statements Summary 2027'!V63</f>
        <v>-187344.40000000002</v>
      </c>
      <c r="I63" s="1">
        <f t="shared" si="1"/>
        <v>-187344.40000000002</v>
      </c>
      <c r="K63" s="1">
        <f>'IS 2028'!F62</f>
        <v>-186230.6</v>
      </c>
      <c r="L63" s="1">
        <f>'IS 2027'!G62</f>
        <v>-167065.60000000001</v>
      </c>
      <c r="M63" s="1">
        <f>'IS 2027'!H62</f>
        <v>-168368.6</v>
      </c>
      <c r="N63" s="1">
        <f>'IS 2027'!I62</f>
        <v>-169595.6</v>
      </c>
      <c r="O63" s="1">
        <f>'IS 2027'!J62</f>
        <v>-170804.6</v>
      </c>
      <c r="P63" s="1">
        <f>'IS 2027'!K62</f>
        <v>-172031.6</v>
      </c>
      <c r="Q63" s="1">
        <f>'IS 2027'!L62</f>
        <v>-173334.6</v>
      </c>
      <c r="R63" s="1">
        <f>'IS 2027'!M62</f>
        <v>-178030.6</v>
      </c>
      <c r="S63" s="1">
        <f>'IS 2027'!N62</f>
        <v>-179505.6</v>
      </c>
      <c r="T63" s="1">
        <f>'IS 2027'!O62</f>
        <v>-180866.6</v>
      </c>
      <c r="U63" s="1">
        <f>'IS 2027'!P62</f>
        <v>-183522.6</v>
      </c>
      <c r="V63" s="1">
        <f>'IS 2027'!Q62</f>
        <v>-187344.40000000002</v>
      </c>
    </row>
    <row r="64" spans="2:22" x14ac:dyDescent="0.3">
      <c r="B64" s="23" t="s">
        <v>16</v>
      </c>
      <c r="C64" s="23"/>
      <c r="D64" s="23"/>
      <c r="E64" s="201">
        <f>'Statements Summary 2024'!V63</f>
        <v>343180</v>
      </c>
      <c r="F64" s="201">
        <f>'Statements Summary 2025'!V64</f>
        <v>452234.98639999999</v>
      </c>
      <c r="G64" s="201">
        <f>'Statements Summary 2026'!V64</f>
        <v>527828</v>
      </c>
      <c r="H64" s="201">
        <f>'Statements Summary 2027'!V64</f>
        <v>749377.6</v>
      </c>
      <c r="I64" s="201">
        <f t="shared" si="1"/>
        <v>843309.6</v>
      </c>
      <c r="K64" s="201">
        <f>'IS 2028'!F63</f>
        <v>744922.4</v>
      </c>
      <c r="L64" s="201">
        <f>'IS 2028'!G63</f>
        <v>750134.4</v>
      </c>
      <c r="M64" s="201">
        <f>'IS 2028'!H63</f>
        <v>765278.4</v>
      </c>
      <c r="N64" s="201">
        <f>'IS 2028'!I63</f>
        <v>769926.4</v>
      </c>
      <c r="O64" s="201">
        <f>'IS 2028'!J63</f>
        <v>775138.4</v>
      </c>
      <c r="P64" s="201">
        <f>'IS 2028'!K63</f>
        <v>779670.4</v>
      </c>
      <c r="Q64" s="201">
        <f>'IS 2028'!L63</f>
        <v>792678.40000000002</v>
      </c>
      <c r="R64" s="201">
        <f>'IS 2028'!M63</f>
        <v>797586.4</v>
      </c>
      <c r="S64" s="201">
        <f>'IS 2028'!N63</f>
        <v>816558.4</v>
      </c>
      <c r="T64" s="201">
        <f>'IS 2028'!O63</f>
        <v>821770.4</v>
      </c>
      <c r="U64" s="201">
        <f>'IS 2028'!P63</f>
        <v>827286.4</v>
      </c>
      <c r="V64" s="201">
        <f>'IS 2028'!Q63</f>
        <v>843309.6</v>
      </c>
    </row>
    <row r="65" spans="2:22" x14ac:dyDescent="0.3">
      <c r="B65" t="s">
        <v>17</v>
      </c>
      <c r="E65" s="2">
        <f>'Statements Summary 2024'!V64</f>
        <v>0.76279173149588797</v>
      </c>
      <c r="F65" s="2">
        <f>'Statements Summary 2025'!V65</f>
        <v>0.77144410600061797</v>
      </c>
      <c r="G65" s="2">
        <f>'Statements Summary 2026'!V65</f>
        <v>0.79767269649846606</v>
      </c>
      <c r="H65" s="2">
        <f>'Statements Summary 2027'!V65</f>
        <v>0.7531471012417148</v>
      </c>
      <c r="I65" s="2">
        <f t="shared" si="1"/>
        <v>0.75409287228049471</v>
      </c>
      <c r="K65" s="2">
        <f>K64/K45</f>
        <v>0.74443107549017651</v>
      </c>
      <c r="L65" s="2">
        <f t="shared" ref="L65:V65" si="11">L64/L45</f>
        <v>0.74479052796187362</v>
      </c>
      <c r="M65" s="2">
        <f t="shared" si="11"/>
        <v>0.74154524445133507</v>
      </c>
      <c r="N65" s="2">
        <f t="shared" si="11"/>
        <v>0.74187249172540393</v>
      </c>
      <c r="O65" s="2">
        <f t="shared" si="11"/>
        <v>0.74223511725220959</v>
      </c>
      <c r="P65" s="2">
        <f t="shared" si="11"/>
        <v>0.74254677403225733</v>
      </c>
      <c r="Q65" s="2">
        <f t="shared" si="11"/>
        <v>0.74342291478117339</v>
      </c>
      <c r="R65" s="2">
        <f t="shared" si="11"/>
        <v>0.74374658473130117</v>
      </c>
      <c r="S65" s="2">
        <f t="shared" si="11"/>
        <v>0.74496366680199433</v>
      </c>
      <c r="T65" s="2">
        <f t="shared" si="11"/>
        <v>0.74528885744862239</v>
      </c>
      <c r="U65" s="2">
        <f t="shared" si="11"/>
        <v>0.74562885585143057</v>
      </c>
      <c r="V65" s="2">
        <f t="shared" si="11"/>
        <v>0.75409287228049471</v>
      </c>
    </row>
    <row r="67" spans="2:22" x14ac:dyDescent="0.3">
      <c r="B67" s="181" t="s">
        <v>331</v>
      </c>
      <c r="C67" s="154"/>
      <c r="D67" s="154"/>
      <c r="E67" s="154"/>
      <c r="F67" s="154"/>
      <c r="G67" s="154"/>
      <c r="H67" s="154"/>
      <c r="I67" s="154"/>
      <c r="K67" s="387" t="s">
        <v>332</v>
      </c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</row>
    <row r="85" spans="2:22" x14ac:dyDescent="0.3">
      <c r="B85" s="181" t="s">
        <v>333</v>
      </c>
      <c r="C85" s="181"/>
      <c r="D85" s="181"/>
      <c r="E85" s="181"/>
      <c r="F85" s="154"/>
      <c r="G85" s="154"/>
      <c r="H85" s="154"/>
      <c r="I85" s="154"/>
      <c r="J85" s="154"/>
      <c r="K85" s="387" t="s">
        <v>335</v>
      </c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</row>
    <row r="87" spans="2:22" x14ac:dyDescent="0.3">
      <c r="B87" s="199" t="s">
        <v>27</v>
      </c>
      <c r="C87" s="199"/>
      <c r="D87" s="199"/>
      <c r="E87" s="200">
        <v>2024</v>
      </c>
      <c r="F87" s="200">
        <v>2025</v>
      </c>
      <c r="G87" s="200">
        <v>2026</v>
      </c>
      <c r="H87" s="200">
        <v>2027</v>
      </c>
      <c r="I87" s="200">
        <v>2028</v>
      </c>
      <c r="J87" s="199"/>
      <c r="K87" s="200" t="s">
        <v>32</v>
      </c>
      <c r="L87" s="200" t="s">
        <v>33</v>
      </c>
      <c r="M87" s="200" t="s">
        <v>34</v>
      </c>
      <c r="N87" s="200" t="s">
        <v>35</v>
      </c>
      <c r="O87" s="200" t="s">
        <v>36</v>
      </c>
      <c r="P87" s="200" t="s">
        <v>37</v>
      </c>
      <c r="Q87" s="200" t="s">
        <v>38</v>
      </c>
      <c r="R87" s="200" t="s">
        <v>39</v>
      </c>
      <c r="S87" s="200" t="s">
        <v>40</v>
      </c>
      <c r="T87" s="200" t="s">
        <v>41</v>
      </c>
      <c r="U87" s="200" t="s">
        <v>42</v>
      </c>
      <c r="V87" s="200" t="s">
        <v>43</v>
      </c>
    </row>
    <row r="88" spans="2:22" x14ac:dyDescent="0.3">
      <c r="B88" t="s">
        <v>55</v>
      </c>
      <c r="E88" s="211">
        <f>'Statements Summary 2024'!V86</f>
        <v>2624392.4</v>
      </c>
      <c r="F88" s="211">
        <f>'Statements Summary 2025'!V88</f>
        <v>7339792.1871999996</v>
      </c>
      <c r="G88" s="211">
        <f>'Statements Summary 2026'!V88</f>
        <v>13149988.987199999</v>
      </c>
      <c r="H88" s="211">
        <f>'Statements Summary 2027'!V88</f>
        <v>22338154.987199992</v>
      </c>
      <c r="I88" s="211">
        <f t="shared" ref="I88:I99" si="12">V88</f>
        <v>32696764.987199977</v>
      </c>
      <c r="K88" s="211">
        <f>'BS 2028'!F14</f>
        <v>23151959.38719999</v>
      </c>
      <c r="L88" s="211">
        <f>'BS 2028'!G14</f>
        <v>23970975.787199989</v>
      </c>
      <c r="M88" s="211">
        <f>'BS 2028'!H14</f>
        <v>24811036.187199987</v>
      </c>
      <c r="N88" s="211">
        <f>'BS 2028'!I14</f>
        <v>25655744.587199986</v>
      </c>
      <c r="O88" s="211">
        <f>'BS 2028'!J14</f>
        <v>26505664.987199984</v>
      </c>
      <c r="P88" s="211">
        <f>'BS 2028'!K14</f>
        <v>27360117.387199983</v>
      </c>
      <c r="Q88" s="211">
        <f>'BS 2028'!L14</f>
        <v>28227577.787199982</v>
      </c>
      <c r="R88" s="211">
        <f>'BS 2028'!M14</f>
        <v>29099946.18719998</v>
      </c>
      <c r="S88" s="211">
        <f>'BS 2028'!N14</f>
        <v>29991286.587199979</v>
      </c>
      <c r="T88" s="211">
        <f>'BS 2028'!O14</f>
        <v>30887838.987199977</v>
      </c>
      <c r="U88" s="211">
        <f>'BS 2028'!P14</f>
        <v>31789907.387199976</v>
      </c>
      <c r="V88" s="211">
        <f>'BS 2028'!Q14</f>
        <v>32696764.987199977</v>
      </c>
    </row>
    <row r="89" spans="2:22" x14ac:dyDescent="0.3">
      <c r="B89" t="s">
        <v>56</v>
      </c>
      <c r="E89" s="211">
        <f>'Statements Summary 2024'!V87</f>
        <v>470532</v>
      </c>
      <c r="F89" s="211">
        <f>'Statements Summary 2025'!V89</f>
        <v>488332</v>
      </c>
      <c r="G89" s="211">
        <f>'Statements Summary 2026'!V89</f>
        <v>509481</v>
      </c>
      <c r="H89" s="211">
        <f>'Statements Summary 2027'!V89</f>
        <v>531018</v>
      </c>
      <c r="I89" s="211">
        <f t="shared" si="12"/>
        <v>552400</v>
      </c>
      <c r="K89" s="211">
        <f>'BS 2028'!F19</f>
        <v>532774</v>
      </c>
      <c r="L89" s="211">
        <f>'BS 2028'!G19</f>
        <v>534685</v>
      </c>
      <c r="M89" s="211">
        <f>'BS 2028'!H19</f>
        <v>536596</v>
      </c>
      <c r="N89" s="211">
        <f>'BS 2028'!I19</f>
        <v>538352</v>
      </c>
      <c r="O89" s="211">
        <f>'BS 2028'!J19</f>
        <v>540108</v>
      </c>
      <c r="P89" s="211">
        <f>'BS 2028'!K19</f>
        <v>541864</v>
      </c>
      <c r="Q89" s="211">
        <f>'BS 2028'!L19</f>
        <v>543620</v>
      </c>
      <c r="R89" s="211">
        <f>'BS 2028'!M19</f>
        <v>545376</v>
      </c>
      <c r="S89" s="211">
        <f>'BS 2028'!N19</f>
        <v>547132</v>
      </c>
      <c r="T89" s="211">
        <f>'BS 2028'!O19</f>
        <v>548888</v>
      </c>
      <c r="U89" s="211">
        <f>'BS 2028'!P19</f>
        <v>550644</v>
      </c>
      <c r="V89" s="211">
        <f>'BS 2028'!Q19</f>
        <v>552400</v>
      </c>
    </row>
    <row r="90" spans="2:22" x14ac:dyDescent="0.3">
      <c r="B90" t="s">
        <v>57</v>
      </c>
      <c r="E90" s="211">
        <f>'Statements Summary 2024'!V88</f>
        <v>3094924.4</v>
      </c>
      <c r="F90" s="211">
        <f>'Statements Summary 2025'!V90</f>
        <v>7828124.1871999996</v>
      </c>
      <c r="G90" s="211">
        <f>'Statements Summary 2026'!V90</f>
        <v>13659469.987199999</v>
      </c>
      <c r="H90" s="211">
        <f>'Statements Summary 2027'!V90</f>
        <v>22869172.987199992</v>
      </c>
      <c r="I90" s="211">
        <f t="shared" si="12"/>
        <v>33249164.987199977</v>
      </c>
      <c r="K90" s="211">
        <f>'BS 2028'!F20</f>
        <v>23684733.38719999</v>
      </c>
      <c r="L90" s="211">
        <f>'BS 2028'!G20</f>
        <v>24505660.787199989</v>
      </c>
      <c r="M90" s="211">
        <f>'BS 2028'!H20</f>
        <v>25347632.187199987</v>
      </c>
      <c r="N90" s="211">
        <f>'BS 2028'!I20</f>
        <v>26194096.587199986</v>
      </c>
      <c r="O90" s="211">
        <f>'BS 2028'!J20</f>
        <v>27045772.987199984</v>
      </c>
      <c r="P90" s="211">
        <f>'BS 2028'!K20</f>
        <v>27901981.387199983</v>
      </c>
      <c r="Q90" s="211">
        <f>'BS 2028'!L20</f>
        <v>28771197.787199982</v>
      </c>
      <c r="R90" s="211">
        <f>'BS 2028'!M20</f>
        <v>29645322.18719998</v>
      </c>
      <c r="S90" s="211">
        <f>'BS 2028'!N20</f>
        <v>30538418.587199979</v>
      </c>
      <c r="T90" s="211">
        <f>'BS 2028'!O20</f>
        <v>31436726.987199977</v>
      </c>
      <c r="U90" s="211">
        <f>'BS 2028'!P20</f>
        <v>32340551.387199976</v>
      </c>
      <c r="V90" s="211">
        <f>'BS 2028'!Q20</f>
        <v>33249164.987199977</v>
      </c>
    </row>
    <row r="91" spans="2:22" x14ac:dyDescent="0.3">
      <c r="B91" t="s">
        <v>58</v>
      </c>
      <c r="E91" s="211">
        <f>'Statements Summary 2024'!V89</f>
        <v>-85795</v>
      </c>
      <c r="F91" s="211">
        <f>'Statements Summary 2025'!V91</f>
        <v>-113058.74660000001</v>
      </c>
      <c r="G91" s="211">
        <f>'Statements Summary 2026'!V91</f>
        <v>-131957</v>
      </c>
      <c r="H91" s="211">
        <f>'Statements Summary 2027'!V91</f>
        <v>-187344.40000000002</v>
      </c>
      <c r="I91" s="211">
        <f t="shared" si="12"/>
        <v>-210827.40000000002</v>
      </c>
      <c r="K91" s="211">
        <f>'BS 2028'!F25</f>
        <v>-186230.6</v>
      </c>
      <c r="L91" s="211">
        <f>'BS 2028'!G25</f>
        <v>-187533.6</v>
      </c>
      <c r="M91" s="211">
        <f>'BS 2028'!H25</f>
        <v>-191319.6</v>
      </c>
      <c r="N91" s="211">
        <f>'BS 2028'!I25</f>
        <v>-192481.6</v>
      </c>
      <c r="O91" s="211">
        <f>'BS 2028'!J25</f>
        <v>-193784.6</v>
      </c>
      <c r="P91" s="211">
        <f>'BS 2028'!K25</f>
        <v>-194917.6</v>
      </c>
      <c r="Q91" s="211">
        <f>'BS 2028'!L25</f>
        <v>-198169.60000000001</v>
      </c>
      <c r="R91" s="211">
        <f>'BS 2028'!M25</f>
        <v>-199396.6</v>
      </c>
      <c r="S91" s="211">
        <f>'BS 2028'!N25</f>
        <v>-204139.6</v>
      </c>
      <c r="T91" s="211">
        <f>'BS 2028'!O25</f>
        <v>-205442.6</v>
      </c>
      <c r="U91" s="211">
        <f>'BS 2028'!P25</f>
        <v>-206821.6</v>
      </c>
      <c r="V91" s="211">
        <f>'BS 2028'!Q25</f>
        <v>-210827.40000000002</v>
      </c>
    </row>
    <row r="92" spans="2:22" x14ac:dyDescent="0.3">
      <c r="B92" t="s">
        <v>201</v>
      </c>
      <c r="E92" s="211">
        <f>'Statements Summary 2024'!V90</f>
        <v>-365002</v>
      </c>
      <c r="F92" s="211">
        <f>'Statements Summary 2025'!V92</f>
        <v>-163186</v>
      </c>
      <c r="G92" s="211">
        <f>'Statements Summary 2026'!V92</f>
        <v>0</v>
      </c>
      <c r="H92" s="211">
        <f>'Statements Summary 2027'!V92</f>
        <v>0</v>
      </c>
      <c r="I92" s="211">
        <f t="shared" si="12"/>
        <v>0</v>
      </c>
      <c r="K92" s="211">
        <f>'BS 2028'!F27</f>
        <v>0</v>
      </c>
      <c r="L92" s="211">
        <f>'BS 2028'!G27</f>
        <v>0</v>
      </c>
      <c r="M92" s="211">
        <f>'BS 2028'!H27</f>
        <v>0</v>
      </c>
      <c r="N92" s="211">
        <f>'BS 2028'!I27</f>
        <v>0</v>
      </c>
      <c r="O92" s="211">
        <f>'BS 2028'!J27</f>
        <v>0</v>
      </c>
      <c r="P92" s="211">
        <f>'BS 2028'!K27</f>
        <v>0</v>
      </c>
      <c r="Q92" s="211">
        <f>'BS 2028'!L27</f>
        <v>0</v>
      </c>
      <c r="R92" s="211">
        <f>'BS 2028'!M27</f>
        <v>0</v>
      </c>
      <c r="S92" s="211">
        <f>'BS 2028'!N27</f>
        <v>0</v>
      </c>
      <c r="T92" s="211">
        <f>'BS 2028'!O27</f>
        <v>0</v>
      </c>
      <c r="U92" s="211">
        <f>'BS 2028'!P27</f>
        <v>0</v>
      </c>
      <c r="V92" s="211">
        <f>'BS 2028'!Q27</f>
        <v>0</v>
      </c>
    </row>
    <row r="93" spans="2:22" x14ac:dyDescent="0.3">
      <c r="B93" t="s">
        <v>60</v>
      </c>
      <c r="E93" s="211">
        <f>'Statements Summary 2024'!V91</f>
        <v>-450797</v>
      </c>
      <c r="F93" s="211">
        <f>'Statements Summary 2025'!V93</f>
        <v>-276244.74660000001</v>
      </c>
      <c r="G93" s="211">
        <f>'Statements Summary 2026'!V93</f>
        <v>-131957</v>
      </c>
      <c r="H93" s="211">
        <f>'Statements Summary 2027'!V93</f>
        <v>-187344.40000000002</v>
      </c>
      <c r="I93" s="211">
        <f t="shared" si="12"/>
        <v>-210827.40000000002</v>
      </c>
      <c r="K93" s="211">
        <f>'BS 2028'!F32</f>
        <v>-186230.6</v>
      </c>
      <c r="L93" s="211">
        <f>'BS 2028'!G32</f>
        <v>-187533.6</v>
      </c>
      <c r="M93" s="211">
        <f>'BS 2028'!H32</f>
        <v>-191319.6</v>
      </c>
      <c r="N93" s="211">
        <f>'BS 2028'!I32</f>
        <v>-192481.6</v>
      </c>
      <c r="O93" s="211">
        <f>'BS 2028'!J32</f>
        <v>-193784.6</v>
      </c>
      <c r="P93" s="211">
        <f>'BS 2028'!K32</f>
        <v>-194917.6</v>
      </c>
      <c r="Q93" s="211">
        <f>'BS 2028'!L32</f>
        <v>-198169.60000000001</v>
      </c>
      <c r="R93" s="211">
        <f>'BS 2028'!M32</f>
        <v>-199396.6</v>
      </c>
      <c r="S93" s="211">
        <f>'BS 2028'!N32</f>
        <v>-204139.6</v>
      </c>
      <c r="T93" s="211">
        <f>'BS 2028'!O32</f>
        <v>-205442.6</v>
      </c>
      <c r="U93" s="211">
        <f>'BS 2028'!P32</f>
        <v>-206821.6</v>
      </c>
      <c r="V93" s="211">
        <f>'BS 2028'!Q32</f>
        <v>-210827.40000000002</v>
      </c>
    </row>
    <row r="94" spans="2:22" x14ac:dyDescent="0.3">
      <c r="B94" t="s">
        <v>61</v>
      </c>
      <c r="E94" s="211">
        <f>'Statements Summary 2024'!V92</f>
        <v>2644127.4</v>
      </c>
      <c r="F94" s="211">
        <f>'Statements Summary 2025'!V94</f>
        <v>7551879.4405999994</v>
      </c>
      <c r="G94" s="211">
        <f>'Statements Summary 2026'!V94</f>
        <v>13527512.987199999</v>
      </c>
      <c r="H94" s="211">
        <f>'Statements Summary 2027'!V94</f>
        <v>22681828.587199993</v>
      </c>
      <c r="I94" s="211">
        <f t="shared" si="12"/>
        <v>33038337.587199979</v>
      </c>
      <c r="K94" s="211">
        <f>'BS 2028'!F33</f>
        <v>23498502.787199989</v>
      </c>
      <c r="L94" s="211">
        <f>'BS 2028'!G33</f>
        <v>24318127.187199987</v>
      </c>
      <c r="M94" s="211">
        <f>'BS 2028'!H33</f>
        <v>25156312.587199986</v>
      </c>
      <c r="N94" s="211">
        <f>'BS 2028'!I33</f>
        <v>26001614.987199984</v>
      </c>
      <c r="O94" s="211">
        <f>'BS 2028'!J33</f>
        <v>26851988.387199983</v>
      </c>
      <c r="P94" s="211">
        <f>'BS 2028'!K33</f>
        <v>27707063.787199982</v>
      </c>
      <c r="Q94" s="211">
        <f>'BS 2028'!L33</f>
        <v>28573028.18719998</v>
      </c>
      <c r="R94" s="211">
        <f>'BS 2028'!M33</f>
        <v>29445925.587199979</v>
      </c>
      <c r="S94" s="211">
        <f>'BS 2028'!N33</f>
        <v>30334278.987199977</v>
      </c>
      <c r="T94" s="211">
        <f>'BS 2028'!O33</f>
        <v>31231284.387199976</v>
      </c>
      <c r="U94" s="211">
        <f>'BS 2028'!P33</f>
        <v>32133729.787199974</v>
      </c>
      <c r="V94" s="211">
        <f>'BS 2028'!Q33</f>
        <v>33038337.587199979</v>
      </c>
    </row>
    <row r="95" spans="2:22" x14ac:dyDescent="0.3">
      <c r="B95" t="s">
        <v>62</v>
      </c>
      <c r="E95" s="211">
        <f>'Statements Summary 2024'!V93</f>
        <v>2624392.4</v>
      </c>
      <c r="F95" s="211">
        <f>'Statements Summary 2025'!V95</f>
        <v>7339792.1871999996</v>
      </c>
      <c r="G95" s="211">
        <f>'Statements Summary 2026'!V95</f>
        <v>13149988.987199999</v>
      </c>
      <c r="H95" s="211">
        <f>'Statements Summary 2027'!V95</f>
        <v>22338154.987199992</v>
      </c>
      <c r="I95" s="211">
        <f t="shared" si="12"/>
        <v>32696764.987199977</v>
      </c>
      <c r="K95" s="211">
        <f>'BS 2028'!F14</f>
        <v>23151959.38719999</v>
      </c>
      <c r="L95" s="211">
        <f>'BS 2028'!G14</f>
        <v>23970975.787199989</v>
      </c>
      <c r="M95" s="211">
        <f>'BS 2028'!H14</f>
        <v>24811036.187199987</v>
      </c>
      <c r="N95" s="211">
        <f>'BS 2028'!I14</f>
        <v>25655744.587199986</v>
      </c>
      <c r="O95" s="211">
        <f>'BS 2028'!J14</f>
        <v>26505664.987199984</v>
      </c>
      <c r="P95" s="211">
        <f>'BS 2028'!K14</f>
        <v>27360117.387199983</v>
      </c>
      <c r="Q95" s="211">
        <f>'BS 2028'!L14</f>
        <v>28227577.787199982</v>
      </c>
      <c r="R95" s="211">
        <f>'BS 2028'!M14</f>
        <v>29099946.18719998</v>
      </c>
      <c r="S95" s="211">
        <f>'BS 2028'!N14</f>
        <v>29991286.587199979</v>
      </c>
      <c r="T95" s="211">
        <f>'BS 2028'!O14</f>
        <v>30887838.987199977</v>
      </c>
      <c r="U95" s="211">
        <f>'BS 2028'!P14</f>
        <v>31789907.387199976</v>
      </c>
      <c r="V95" s="211">
        <f>'BS 2028'!Q14</f>
        <v>32696764.987199977</v>
      </c>
    </row>
    <row r="96" spans="2:22" x14ac:dyDescent="0.3">
      <c r="B96" t="s">
        <v>63</v>
      </c>
      <c r="E96" s="211" t="str">
        <f>'Statements Summary 2024'!V94</f>
        <v>-</v>
      </c>
      <c r="F96" s="211" t="str">
        <f>'Statements Summary 2025'!V96</f>
        <v>-</v>
      </c>
      <c r="G96" s="211" t="str">
        <f>'Statements Summary 2026'!V96</f>
        <v>-</v>
      </c>
      <c r="H96" s="211" t="str">
        <f>'Statements Summary 2027'!V96</f>
        <v>-</v>
      </c>
      <c r="I96" s="211" t="str">
        <f t="shared" si="12"/>
        <v>-</v>
      </c>
      <c r="K96" s="211" t="s">
        <v>195</v>
      </c>
      <c r="L96" s="211" t="s">
        <v>195</v>
      </c>
      <c r="M96" s="211" t="s">
        <v>195</v>
      </c>
      <c r="N96" s="211" t="s">
        <v>195</v>
      </c>
      <c r="O96" s="211" t="s">
        <v>195</v>
      </c>
      <c r="P96" s="211" t="s">
        <v>195</v>
      </c>
      <c r="Q96" s="211" t="s">
        <v>195</v>
      </c>
      <c r="R96" s="211" t="s">
        <v>195</v>
      </c>
      <c r="S96" s="211" t="s">
        <v>195</v>
      </c>
      <c r="T96" s="211" t="s">
        <v>195</v>
      </c>
      <c r="U96" s="211" t="s">
        <v>195</v>
      </c>
      <c r="V96" s="211" t="s">
        <v>195</v>
      </c>
    </row>
    <row r="97" spans="2:22" x14ac:dyDescent="0.3">
      <c r="B97" t="s">
        <v>64</v>
      </c>
      <c r="E97" s="211">
        <f>'Statements Summary 2024'!V95</f>
        <v>0</v>
      </c>
      <c r="F97" s="211">
        <f>'Statements Summary 2025'!V97</f>
        <v>0</v>
      </c>
      <c r="G97" s="211">
        <f>'Statements Summary 2026'!V97</f>
        <v>0</v>
      </c>
      <c r="H97" s="211">
        <f>'Statements Summary 2027'!V97</f>
        <v>0</v>
      </c>
      <c r="I97" s="211">
        <f t="shared" si="12"/>
        <v>0</v>
      </c>
      <c r="K97" s="211" t="s">
        <v>195</v>
      </c>
      <c r="L97" s="211" t="s">
        <v>195</v>
      </c>
      <c r="M97" s="211" t="s">
        <v>195</v>
      </c>
      <c r="N97" s="211" t="s">
        <v>195</v>
      </c>
      <c r="O97" s="211" t="s">
        <v>195</v>
      </c>
      <c r="P97" s="211" t="s">
        <v>195</v>
      </c>
      <c r="Q97" s="211" t="s">
        <v>195</v>
      </c>
      <c r="R97" s="211" t="s">
        <v>195</v>
      </c>
      <c r="S97" s="211" t="s">
        <v>195</v>
      </c>
      <c r="T97" s="211" t="s">
        <v>195</v>
      </c>
      <c r="U97" s="211" t="s">
        <v>195</v>
      </c>
      <c r="V97" s="211"/>
    </row>
    <row r="98" spans="2:22" x14ac:dyDescent="0.3">
      <c r="B98" t="s">
        <v>65</v>
      </c>
      <c r="E98" s="211">
        <f>'Statements Summary 2024'!V96</f>
        <v>2644127.4</v>
      </c>
      <c r="F98" s="211">
        <f>'Statements Summary 2025'!V98</f>
        <v>7551879.4405999994</v>
      </c>
      <c r="G98" s="211">
        <f>'Statements Summary 2026'!V98</f>
        <v>13527512.987199999</v>
      </c>
      <c r="H98" s="211">
        <f>'Statements Summary 2027'!V98</f>
        <v>22681828.587199993</v>
      </c>
      <c r="I98" s="211">
        <f t="shared" si="12"/>
        <v>33038337.587199979</v>
      </c>
      <c r="K98" s="211">
        <f>K94</f>
        <v>23498502.787199989</v>
      </c>
      <c r="L98" s="211">
        <f t="shared" ref="L98:V98" si="13">L94</f>
        <v>24318127.187199987</v>
      </c>
      <c r="M98" s="211">
        <f t="shared" si="13"/>
        <v>25156312.587199986</v>
      </c>
      <c r="N98" s="211">
        <f t="shared" si="13"/>
        <v>26001614.987199984</v>
      </c>
      <c r="O98" s="211">
        <f t="shared" si="13"/>
        <v>26851988.387199983</v>
      </c>
      <c r="P98" s="211">
        <f t="shared" si="13"/>
        <v>27707063.787199982</v>
      </c>
      <c r="Q98" s="211">
        <f t="shared" si="13"/>
        <v>28573028.18719998</v>
      </c>
      <c r="R98" s="211">
        <f t="shared" si="13"/>
        <v>29445925.587199979</v>
      </c>
      <c r="S98" s="211">
        <f t="shared" si="13"/>
        <v>30334278.987199977</v>
      </c>
      <c r="T98" s="211">
        <f t="shared" si="13"/>
        <v>31231284.387199976</v>
      </c>
      <c r="U98" s="211">
        <f t="shared" si="13"/>
        <v>32133729.787199974</v>
      </c>
      <c r="V98" s="211">
        <f t="shared" si="13"/>
        <v>33038337.587199979</v>
      </c>
    </row>
    <row r="99" spans="2:22" x14ac:dyDescent="0.3">
      <c r="B99" t="s">
        <v>66</v>
      </c>
      <c r="E99" s="211">
        <f>'Statements Summary 2024'!V97</f>
        <v>2644127.4</v>
      </c>
      <c r="F99" s="211">
        <f>'Statements Summary 2025'!V99</f>
        <v>7551879.4405999994</v>
      </c>
      <c r="G99" s="211">
        <f>'Statements Summary 2026'!V99</f>
        <v>13527512.987199999</v>
      </c>
      <c r="H99" s="211">
        <f>'Statements Summary 2027'!V99</f>
        <v>22681828.587199993</v>
      </c>
      <c r="I99" s="211">
        <f t="shared" si="12"/>
        <v>33038337.587199979</v>
      </c>
      <c r="K99" s="211">
        <f>K98</f>
        <v>23498502.787199989</v>
      </c>
      <c r="L99" s="211">
        <f t="shared" ref="L99:V99" si="14">L98</f>
        <v>24318127.187199987</v>
      </c>
      <c r="M99" s="211">
        <f t="shared" si="14"/>
        <v>25156312.587199986</v>
      </c>
      <c r="N99" s="211">
        <f t="shared" si="14"/>
        <v>26001614.987199984</v>
      </c>
      <c r="O99" s="211">
        <f t="shared" si="14"/>
        <v>26851988.387199983</v>
      </c>
      <c r="P99" s="211">
        <f t="shared" si="14"/>
        <v>27707063.787199982</v>
      </c>
      <c r="Q99" s="211">
        <f t="shared" si="14"/>
        <v>28573028.18719998</v>
      </c>
      <c r="R99" s="211">
        <f t="shared" si="14"/>
        <v>29445925.587199979</v>
      </c>
      <c r="S99" s="211">
        <f t="shared" si="14"/>
        <v>30334278.987199977</v>
      </c>
      <c r="T99" s="211">
        <f t="shared" si="14"/>
        <v>31231284.387199976</v>
      </c>
      <c r="U99" s="211">
        <f t="shared" si="14"/>
        <v>32133729.787199974</v>
      </c>
      <c r="V99" s="211">
        <f t="shared" si="14"/>
        <v>33038337.587199979</v>
      </c>
    </row>
    <row r="101" spans="2:22" x14ac:dyDescent="0.3">
      <c r="B101" s="181" t="s">
        <v>333</v>
      </c>
      <c r="C101" s="181"/>
      <c r="D101" s="181"/>
      <c r="E101" s="181"/>
      <c r="F101" s="154"/>
      <c r="G101" s="154"/>
      <c r="H101" s="154"/>
      <c r="I101" s="154"/>
      <c r="K101" s="387" t="s">
        <v>335</v>
      </c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387"/>
    </row>
  </sheetData>
  <mergeCells count="6">
    <mergeCell ref="K101:V101"/>
    <mergeCell ref="K2:V2"/>
    <mergeCell ref="K19:V19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6D5D-78D2-4595-8983-B326ABF9A1C6}">
  <dimension ref="A1"/>
  <sheetViews>
    <sheetView showGridLines="0" topLeftCell="B1" zoomScale="94" zoomScaleNormal="94" workbookViewId="0">
      <selection activeCell="Z49" sqref="Z49"/>
    </sheetView>
  </sheetViews>
  <sheetFormatPr defaultRowHeight="14.4" x14ac:dyDescent="0.3"/>
  <cols>
    <col min="1" max="1" width="1.6640625" customWidth="1"/>
  </cols>
  <sheetData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3BE26-08D4-4624-B72E-3E8490ACFED0}">
  <dimension ref="A1"/>
  <sheetViews>
    <sheetView showGridLines="0" topLeftCell="A61" workbookViewId="0">
      <selection activeCell="Z30" sqref="Z30"/>
    </sheetView>
  </sheetViews>
  <sheetFormatPr defaultRowHeight="14.4" x14ac:dyDescent="0.3"/>
  <cols>
    <col min="1" max="1" width="1.109375" customWidth="1"/>
  </cols>
  <sheetData>
    <row r="1" ht="5.4" customHeight="1" x14ac:dyDescent="0.3"/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70B8C-D81C-4987-A027-5FC03635FFF5}">
  <dimension ref="A1"/>
  <sheetViews>
    <sheetView showGridLines="0" topLeftCell="A49" zoomScaleNormal="100" workbookViewId="0">
      <selection activeCell="Z64" sqref="Z64"/>
    </sheetView>
  </sheetViews>
  <sheetFormatPr defaultRowHeight="14.4" x14ac:dyDescent="0.3"/>
  <cols>
    <col min="1" max="1" width="0.77734375" customWidth="1"/>
  </cols>
  <sheetData>
    <row r="1" ht="3.6" customHeight="1" x14ac:dyDescent="0.3"/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5DB25-5D1D-45A8-82DA-CE97478132E3}">
  <sheetPr codeName="Sheet3"/>
  <dimension ref="E1:S35"/>
  <sheetViews>
    <sheetView showGridLines="0" workbookViewId="0">
      <selection activeCell="T26" sqref="T26"/>
    </sheetView>
  </sheetViews>
  <sheetFormatPr defaultRowHeight="14.4" x14ac:dyDescent="0.3"/>
  <sheetData>
    <row r="1" spans="5:19" ht="21" x14ac:dyDescent="0.4">
      <c r="E1" s="395" t="s">
        <v>23</v>
      </c>
      <c r="F1" s="395"/>
      <c r="G1" s="395"/>
      <c r="H1" s="395"/>
      <c r="I1" s="395"/>
    </row>
    <row r="5" spans="5:19" ht="18" x14ac:dyDescent="0.35">
      <c r="E5" s="392" t="s">
        <v>24</v>
      </c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4"/>
      <c r="R5" s="11"/>
      <c r="S5" s="11"/>
    </row>
    <row r="22" spans="5:17" ht="21" x14ac:dyDescent="0.4">
      <c r="E22" s="397" t="s">
        <v>211</v>
      </c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9"/>
    </row>
    <row r="24" spans="5:17" x14ac:dyDescent="0.3">
      <c r="E24" s="396" t="s">
        <v>0</v>
      </c>
      <c r="F24" s="396"/>
      <c r="H24" s="391">
        <v>2024</v>
      </c>
      <c r="I24" s="391"/>
      <c r="J24" s="391">
        <v>2025</v>
      </c>
      <c r="K24" s="391"/>
      <c r="L24" s="391">
        <v>2026</v>
      </c>
      <c r="M24" s="391"/>
      <c r="N24" s="391">
        <v>2027</v>
      </c>
      <c r="O24" s="391"/>
      <c r="P24" s="391">
        <v>2028</v>
      </c>
      <c r="Q24" s="391"/>
    </row>
    <row r="27" spans="5:17" x14ac:dyDescent="0.3">
      <c r="E27" t="s">
        <v>2</v>
      </c>
      <c r="H27" s="401">
        <f>'IS 2024'!U17</f>
        <v>4830841</v>
      </c>
      <c r="I27" s="401"/>
      <c r="J27" s="401">
        <f>'IS 2025'!U17</f>
        <v>6860174.7340000002</v>
      </c>
      <c r="K27" s="401"/>
      <c r="L27" s="401">
        <f>'IS 2026'!U17</f>
        <v>7601190</v>
      </c>
      <c r="M27" s="401"/>
      <c r="N27" s="401">
        <f>'IS 2027'!U17</f>
        <v>11288870</v>
      </c>
      <c r="O27" s="401"/>
      <c r="P27" s="401">
        <f>'IS 2028'!U17</f>
        <v>12737175</v>
      </c>
      <c r="Q27" s="401"/>
    </row>
    <row r="28" spans="5:17" x14ac:dyDescent="0.3">
      <c r="E28" t="s">
        <v>3</v>
      </c>
      <c r="H28" s="400">
        <f>'IS 2024'!U18</f>
        <v>-124680</v>
      </c>
      <c r="I28" s="391"/>
      <c r="J28" s="400">
        <f>'IS 2025'!U18</f>
        <v>-124680</v>
      </c>
      <c r="K28" s="391"/>
      <c r="L28" s="400">
        <f>'IS 2026'!U18</f>
        <v>103320</v>
      </c>
      <c r="M28" s="391"/>
      <c r="N28" s="400">
        <f>'IS 2027'!U18</f>
        <v>-390528</v>
      </c>
      <c r="O28" s="391"/>
      <c r="P28" s="400">
        <f>'IS 2028'!U18</f>
        <v>-449528</v>
      </c>
      <c r="Q28" s="391"/>
    </row>
    <row r="29" spans="5:17" x14ac:dyDescent="0.3">
      <c r="E29" s="23" t="s">
        <v>25</v>
      </c>
      <c r="H29" s="401">
        <f>'IS 2024'!U26</f>
        <v>4706161</v>
      </c>
      <c r="I29" s="401"/>
      <c r="J29" s="401">
        <f>'IS 2025'!U27</f>
        <v>6735494.7340000002</v>
      </c>
      <c r="K29" s="401"/>
      <c r="L29" s="401">
        <f>'IS 2026'!U26</f>
        <v>7704510</v>
      </c>
      <c r="M29" s="401"/>
      <c r="N29" s="401">
        <f>'IS 2027'!U26</f>
        <v>10898342</v>
      </c>
      <c r="O29" s="401"/>
      <c r="P29" s="401">
        <f>'IS 2028'!U26</f>
        <v>12287647</v>
      </c>
      <c r="Q29" s="401"/>
    </row>
    <row r="30" spans="5:17" x14ac:dyDescent="0.3">
      <c r="E30" t="s">
        <v>6</v>
      </c>
      <c r="H30" s="400">
        <f>'IS 2024'!U38</f>
        <v>-27420</v>
      </c>
      <c r="I30" s="391"/>
      <c r="J30" s="400">
        <f>'IS 2025'!U39</f>
        <v>-27420</v>
      </c>
      <c r="K30" s="391"/>
      <c r="L30" s="400">
        <f>'IS 2026'!U38</f>
        <v>-27420</v>
      </c>
      <c r="M30" s="391"/>
      <c r="N30" s="400">
        <f>'IS 2027'!U37</f>
        <v>-333322</v>
      </c>
      <c r="O30" s="391"/>
      <c r="P30" s="400">
        <f>'IS 2028'!U37</f>
        <v>-333322</v>
      </c>
      <c r="Q30" s="391"/>
    </row>
    <row r="31" spans="5:17" x14ac:dyDescent="0.3">
      <c r="E31" t="s">
        <v>10</v>
      </c>
      <c r="H31" s="400">
        <f>'IS 2024'!U59</f>
        <v>4579741</v>
      </c>
      <c r="I31" s="391"/>
      <c r="J31" s="400">
        <f>'IS 2025'!U60</f>
        <v>6609074.7340000002</v>
      </c>
      <c r="K31" s="391"/>
      <c r="L31" s="400">
        <f>'IS 2026'!U59</f>
        <v>7578090</v>
      </c>
      <c r="M31" s="400"/>
      <c r="N31" s="400">
        <f>'IS 2027'!U57</f>
        <v>10466020</v>
      </c>
      <c r="O31" s="400"/>
      <c r="P31" s="400">
        <f>'IS 2028'!U57</f>
        <v>11855325</v>
      </c>
      <c r="Q31" s="400"/>
    </row>
    <row r="32" spans="5:17" x14ac:dyDescent="0.3">
      <c r="E32" t="s">
        <v>26</v>
      </c>
      <c r="H32" s="401">
        <f>ABS('IS 2024'!U18)+ABS('IS 2024'!U38)+ABS('IS 2024'!U39)+ABS('IS 2024'!U58)+ABS('IS 2024'!U60)+ABS('IS 2024'!U62)+ABS('IS 2024'!U64)</f>
        <v>2334338.6</v>
      </c>
      <c r="I32" s="396"/>
      <c r="J32" s="401">
        <f>ABS('IS 2025'!U18)+ABS('IS 2025'!U39)+ABS('IS 2025'!U40)+ABS('IS 2025'!U59)+ABS('IS 2025'!U61)+ABS('IS 2025'!U63)+ABS('IS 2025'!U65)</f>
        <v>2253114.9468</v>
      </c>
      <c r="K32" s="396"/>
      <c r="L32" s="401">
        <f>ABS('IS 2026'!U18)+ABS('IS 2026'!U38)+ABS('IS 2026'!U39)+ABS('IS 2026'!U58)+ABS('IS 2026'!U60)+ABS('IS 2026'!U62)+ABS('IS 2026'!U64)</f>
        <v>2411952.2000000002</v>
      </c>
      <c r="M32" s="396"/>
      <c r="N32" s="401">
        <f>ABS('IS 2027'!U18)+ABS('IS 2027'!U37)+ABS('IS 2027'!U38)+ABS('IS 2027'!U56)+ABS('IS 2027'!U58)+ABS('IS 2027'!U60)+ABS('IS 2027'!U62)</f>
        <v>3478347.0000000005</v>
      </c>
      <c r="O32" s="396"/>
      <c r="P32" s="401">
        <f>ABS('IS 2028'!U18)+ABS('IS 2028'!U37)+ABS('IS 2028'!U38)+ABS('IS 2028'!U56)+ABS('IS 2028'!U58)+ABS('IS 2028'!U60)+ABS('IS 2028'!U62)</f>
        <v>3814963.0000000005</v>
      </c>
      <c r="Q32" s="401"/>
    </row>
    <row r="33" spans="5:17" x14ac:dyDescent="0.3">
      <c r="E33" t="s">
        <v>14</v>
      </c>
      <c r="H33" s="401">
        <f>'IS 2024'!U63</f>
        <v>4579741</v>
      </c>
      <c r="I33" s="396"/>
      <c r="J33" s="401">
        <f>'IS 2025'!U64</f>
        <v>6609074.7340000002</v>
      </c>
      <c r="K33" s="401"/>
      <c r="L33" s="401">
        <f>'IS 2026'!U63</f>
        <v>7578090</v>
      </c>
      <c r="M33" s="401"/>
      <c r="N33" s="401">
        <f>'IS 2027'!U61</f>
        <v>10466020</v>
      </c>
      <c r="O33" s="401"/>
      <c r="P33" s="401">
        <f>'IS 2028'!U61</f>
        <v>11855325</v>
      </c>
      <c r="Q33" s="401"/>
    </row>
    <row r="34" spans="5:17" x14ac:dyDescent="0.3">
      <c r="E34" t="s">
        <v>16</v>
      </c>
      <c r="H34" s="402">
        <f>'IS 2024'!U65</f>
        <v>3663792.8</v>
      </c>
      <c r="I34" s="403"/>
      <c r="J34" s="402">
        <f>'IS 2025'!U66</f>
        <v>5287259.7871999992</v>
      </c>
      <c r="K34" s="402"/>
      <c r="L34" s="402">
        <f>'IS 2026'!U65</f>
        <v>6062472</v>
      </c>
      <c r="M34" s="402"/>
      <c r="N34" s="402">
        <f>'IS 2027'!U63</f>
        <v>8372816.0000000009</v>
      </c>
      <c r="O34" s="402"/>
      <c r="P34" s="402">
        <f>'IS 2028'!U63</f>
        <v>9484260.0000000019</v>
      </c>
      <c r="Q34" s="402"/>
    </row>
    <row r="35" spans="5:17" x14ac:dyDescent="0.3">
      <c r="J35" s="2"/>
    </row>
  </sheetData>
  <mergeCells count="49">
    <mergeCell ref="L27:M27"/>
    <mergeCell ref="L28:M28"/>
    <mergeCell ref="L29:M29"/>
    <mergeCell ref="L30:M30"/>
    <mergeCell ref="P30:Q30"/>
    <mergeCell ref="N30:O30"/>
    <mergeCell ref="P27:Q27"/>
    <mergeCell ref="P28:Q28"/>
    <mergeCell ref="P29:Q29"/>
    <mergeCell ref="N27:O27"/>
    <mergeCell ref="N28:O28"/>
    <mergeCell ref="N29:O29"/>
    <mergeCell ref="P34:Q34"/>
    <mergeCell ref="L31:M31"/>
    <mergeCell ref="N34:O34"/>
    <mergeCell ref="L32:M32"/>
    <mergeCell ref="L33:M33"/>
    <mergeCell ref="L34:M34"/>
    <mergeCell ref="P31:Q31"/>
    <mergeCell ref="N31:O31"/>
    <mergeCell ref="N32:O32"/>
    <mergeCell ref="N33:O33"/>
    <mergeCell ref="P32:Q32"/>
    <mergeCell ref="P33:Q33"/>
    <mergeCell ref="H34:I34"/>
    <mergeCell ref="J32:K32"/>
    <mergeCell ref="J33:K33"/>
    <mergeCell ref="J34:K34"/>
    <mergeCell ref="H31:I31"/>
    <mergeCell ref="H32:I32"/>
    <mergeCell ref="H33:I33"/>
    <mergeCell ref="J31:K31"/>
    <mergeCell ref="H30:I30"/>
    <mergeCell ref="J27:K27"/>
    <mergeCell ref="J28:K28"/>
    <mergeCell ref="J29:K29"/>
    <mergeCell ref="J30:K30"/>
    <mergeCell ref="H27:I27"/>
    <mergeCell ref="H28:I28"/>
    <mergeCell ref="H29:I29"/>
    <mergeCell ref="N24:O24"/>
    <mergeCell ref="P24:Q24"/>
    <mergeCell ref="E5:Q5"/>
    <mergeCell ref="E1:I1"/>
    <mergeCell ref="E24:F24"/>
    <mergeCell ref="H24:I24"/>
    <mergeCell ref="J24:K24"/>
    <mergeCell ref="L24:M24"/>
    <mergeCell ref="E22:Q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5A0F-C2A6-4DF8-816A-CC39E2F00761}">
  <sheetPr codeName="Sheet22"/>
  <dimension ref="A2:V61"/>
  <sheetViews>
    <sheetView showGridLines="0" workbookViewId="0">
      <selection activeCell="B12" sqref="B12:B16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5" max="15" width="9.88671875" customWidth="1"/>
    <col min="19" max="19" width="9.5546875" customWidth="1"/>
    <col min="22" max="22" width="9.88671875" bestFit="1" customWidth="1"/>
  </cols>
  <sheetData>
    <row r="2" spans="1:22" ht="18" x14ac:dyDescent="0.35">
      <c r="A2" s="139" t="s">
        <v>149</v>
      </c>
      <c r="C2" s="138"/>
      <c r="D2" s="13"/>
    </row>
    <row r="3" spans="1:22" x14ac:dyDescent="0.3">
      <c r="A3" s="137" t="s">
        <v>150</v>
      </c>
      <c r="C3" s="23"/>
    </row>
    <row r="4" spans="1:22" x14ac:dyDescent="0.3">
      <c r="A4" s="137" t="s">
        <v>151</v>
      </c>
      <c r="C4" s="23"/>
    </row>
    <row r="6" spans="1:22" x14ac:dyDescent="0.3">
      <c r="B6" s="23" t="s">
        <v>197</v>
      </c>
    </row>
    <row r="7" spans="1:22" x14ac:dyDescent="0.3">
      <c r="A7" s="149"/>
      <c r="B7" s="181" t="s">
        <v>70</v>
      </c>
      <c r="C7" s="154"/>
      <c r="D7" s="154"/>
      <c r="E7" s="154"/>
      <c r="F7" s="154"/>
      <c r="G7" s="183">
        <v>45292</v>
      </c>
      <c r="H7" s="183">
        <v>45323</v>
      </c>
      <c r="I7" s="183">
        <v>45352</v>
      </c>
      <c r="J7" s="183">
        <v>45383</v>
      </c>
      <c r="K7" s="183">
        <v>45413</v>
      </c>
      <c r="L7" s="183">
        <v>45444</v>
      </c>
      <c r="M7" s="183">
        <v>45474</v>
      </c>
      <c r="N7" s="183">
        <v>45505</v>
      </c>
      <c r="O7" s="183">
        <v>45536</v>
      </c>
      <c r="P7" s="183">
        <v>45566</v>
      </c>
      <c r="Q7" s="183">
        <v>45597</v>
      </c>
      <c r="R7" s="183">
        <v>45627</v>
      </c>
      <c r="S7" s="183">
        <v>45658</v>
      </c>
      <c r="T7" s="183">
        <v>45689</v>
      </c>
      <c r="U7" s="183">
        <v>45717</v>
      </c>
      <c r="V7" s="183" t="s">
        <v>78</v>
      </c>
    </row>
    <row r="8" spans="1:22" x14ac:dyDescent="0.3"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x14ac:dyDescent="0.3">
      <c r="B9" s="23" t="s">
        <v>149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3">
      <c r="A10" s="154"/>
      <c r="B10" s="181" t="s">
        <v>152</v>
      </c>
      <c r="C10" s="154"/>
      <c r="D10" s="154"/>
      <c r="E10" s="154"/>
      <c r="F10" s="154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</row>
    <row r="11" spans="1:22" x14ac:dyDescent="0.3">
      <c r="B11" s="356" t="s">
        <v>44</v>
      </c>
      <c r="C11" s="357"/>
      <c r="D11" s="357"/>
      <c r="E11" s="357"/>
      <c r="F11" s="357"/>
      <c r="G11" s="358">
        <f t="shared" ref="G11:R11" si="0">SUM(G12:G17)</f>
        <v>330030</v>
      </c>
      <c r="H11" s="358">
        <f t="shared" si="0"/>
        <v>430451</v>
      </c>
      <c r="I11" s="358">
        <f t="shared" si="0"/>
        <v>361850</v>
      </c>
      <c r="J11" s="358">
        <f t="shared" si="0"/>
        <v>451050</v>
      </c>
      <c r="K11" s="358">
        <f t="shared" si="0"/>
        <v>366785</v>
      </c>
      <c r="L11" s="358">
        <f t="shared" si="0"/>
        <v>392080</v>
      </c>
      <c r="M11" s="358">
        <f t="shared" si="0"/>
        <v>371015</v>
      </c>
      <c r="N11" s="358">
        <f t="shared" si="0"/>
        <v>390505</v>
      </c>
      <c r="O11" s="358">
        <f t="shared" si="0"/>
        <v>397210</v>
      </c>
      <c r="P11" s="358">
        <f t="shared" si="0"/>
        <v>441485</v>
      </c>
      <c r="Q11" s="358">
        <f t="shared" si="0"/>
        <v>448480</v>
      </c>
      <c r="R11" s="358">
        <f t="shared" si="0"/>
        <v>449900</v>
      </c>
      <c r="S11" s="358">
        <f>'CF 2025'!G11</f>
        <v>546073.22800000012</v>
      </c>
      <c r="T11" s="358">
        <f>'CF 2025'!H11</f>
        <v>553703.89199999999</v>
      </c>
      <c r="U11" s="358">
        <f>'CF 2025'!I11</f>
        <v>559369.55599999998</v>
      </c>
      <c r="V11" s="358">
        <f>SUM(G11:R11)</f>
        <v>4830841</v>
      </c>
    </row>
    <row r="12" spans="1:22" x14ac:dyDescent="0.3">
      <c r="B12" s="145" t="s">
        <v>337</v>
      </c>
      <c r="C12" s="357"/>
      <c r="D12" s="357"/>
      <c r="E12" s="357"/>
      <c r="F12" s="357"/>
      <c r="G12" s="358">
        <f>'IS 2024'!F12</f>
        <v>30240</v>
      </c>
      <c r="H12" s="358">
        <f>'IS 2024'!G12</f>
        <v>30240</v>
      </c>
      <c r="I12" s="358">
        <f>'IS 2024'!H12</f>
        <v>30240</v>
      </c>
      <c r="J12" s="358">
        <f>'IS 2024'!I12</f>
        <v>30240</v>
      </c>
      <c r="K12" s="358">
        <f>'IS 2024'!J12</f>
        <v>34425</v>
      </c>
      <c r="L12" s="358">
        <f>'IS 2024'!K12</f>
        <v>37395</v>
      </c>
      <c r="M12" s="358">
        <f>'IS 2024'!L12</f>
        <v>20790</v>
      </c>
      <c r="N12" s="358">
        <f>'IS 2024'!M12</f>
        <v>20790</v>
      </c>
      <c r="O12" s="358">
        <f>'IS 2024'!N12</f>
        <v>20790</v>
      </c>
      <c r="P12" s="358">
        <f>'IS 2024'!O12</f>
        <v>37395</v>
      </c>
      <c r="Q12" s="358">
        <f>'IS 2024'!P12</f>
        <v>38745</v>
      </c>
      <c r="R12" s="358">
        <f>'IS 2024'!Q12</f>
        <v>27000</v>
      </c>
      <c r="S12" s="358">
        <f>'CF 2025'!G12</f>
        <v>16779.636000000002</v>
      </c>
      <c r="T12" s="358">
        <f>'CF 2025'!H12</f>
        <v>17016.803999999996</v>
      </c>
      <c r="U12" s="358">
        <f>'CF 2025'!I12</f>
        <v>17253.971999999998</v>
      </c>
      <c r="V12" s="359"/>
    </row>
    <row r="13" spans="1:22" x14ac:dyDescent="0.3">
      <c r="B13" s="145" t="s">
        <v>338</v>
      </c>
      <c r="C13" s="357"/>
      <c r="D13" s="357"/>
      <c r="E13" s="357"/>
      <c r="F13" s="357"/>
      <c r="G13" s="358">
        <f>'IS 2024'!F13</f>
        <v>9990</v>
      </c>
      <c r="H13" s="358">
        <f>'IS 2024'!G13</f>
        <v>11070</v>
      </c>
      <c r="I13" s="358">
        <f>'IS 2024'!H13</f>
        <v>9990</v>
      </c>
      <c r="J13" s="358">
        <f>'IS 2024'!I13</f>
        <v>10260</v>
      </c>
      <c r="K13" s="358">
        <f>'IS 2024'!J13</f>
        <v>9810</v>
      </c>
      <c r="L13" s="358">
        <f>'IS 2024'!K13</f>
        <v>9990</v>
      </c>
      <c r="M13" s="358">
        <f>'IS 2024'!L13</f>
        <v>9990</v>
      </c>
      <c r="N13" s="358">
        <f>'IS 2024'!M13</f>
        <v>9360</v>
      </c>
      <c r="O13" s="358">
        <f>'IS 2024'!N13</f>
        <v>9630</v>
      </c>
      <c r="P13" s="358">
        <f>'IS 2024'!O13</f>
        <v>10170</v>
      </c>
      <c r="Q13" s="358">
        <f>'IS 2024'!P13</f>
        <v>10440</v>
      </c>
      <c r="R13" s="358">
        <f>'IS 2024'!Q13</f>
        <v>11160</v>
      </c>
      <c r="S13" s="358">
        <f>'CF 2025'!G13</f>
        <v>11780</v>
      </c>
      <c r="T13" s="358">
        <f>'CF 2025'!H13</f>
        <v>11970</v>
      </c>
      <c r="U13" s="358">
        <f>'CF 2025'!I13</f>
        <v>12160</v>
      </c>
      <c r="V13" s="359"/>
    </row>
    <row r="14" spans="1:22" x14ac:dyDescent="0.3">
      <c r="B14" s="145" t="s">
        <v>339</v>
      </c>
      <c r="C14" s="357"/>
      <c r="D14" s="357"/>
      <c r="E14" s="357"/>
      <c r="F14" s="357"/>
      <c r="G14" s="358">
        <f>'IS 2024'!F14</f>
        <v>18700</v>
      </c>
      <c r="H14" s="358">
        <f>'IS 2024'!G14</f>
        <v>19030</v>
      </c>
      <c r="I14" s="358">
        <f>'IS 2024'!H14</f>
        <v>19470</v>
      </c>
      <c r="J14" s="358">
        <f>'IS 2024'!I14</f>
        <v>19910</v>
      </c>
      <c r="K14" s="358">
        <f>'IS 2024'!J14</f>
        <v>20900</v>
      </c>
      <c r="L14" s="358">
        <f>'IS 2024'!K14</f>
        <v>21670</v>
      </c>
      <c r="M14" s="358">
        <f>'IS 2024'!L14</f>
        <v>22110</v>
      </c>
      <c r="N14" s="358">
        <f>'IS 2024'!M14</f>
        <v>22880</v>
      </c>
      <c r="O14" s="358">
        <f>'IS 2024'!N14</f>
        <v>23540</v>
      </c>
      <c r="P14" s="358">
        <f>'IS 2024'!O14</f>
        <v>24970</v>
      </c>
      <c r="Q14" s="358">
        <f>'IS 2024'!P14</f>
        <v>25520</v>
      </c>
      <c r="R14" s="358">
        <f>'IS 2024'!Q14</f>
        <v>27390</v>
      </c>
      <c r="S14" s="358">
        <f>'CF 2025'!G14</f>
        <v>28635</v>
      </c>
      <c r="T14" s="358">
        <f>'CF 2025'!H14</f>
        <v>28980</v>
      </c>
      <c r="U14" s="358">
        <f>'CF 2025'!I14</f>
        <v>29440</v>
      </c>
      <c r="V14" s="359"/>
    </row>
    <row r="15" spans="1:22" x14ac:dyDescent="0.3">
      <c r="B15" s="145" t="s">
        <v>340</v>
      </c>
      <c r="C15" s="357"/>
      <c r="D15" s="357"/>
      <c r="E15" s="357"/>
      <c r="F15" s="357"/>
      <c r="G15" s="358">
        <f>'IS 2024'!F15</f>
        <v>80000</v>
      </c>
      <c r="H15" s="358">
        <f>'IS 2024'!G15</f>
        <v>85000</v>
      </c>
      <c r="I15" s="358">
        <f>'IS 2024'!H15</f>
        <v>100000</v>
      </c>
      <c r="J15" s="358">
        <f>'IS 2024'!I15</f>
        <v>103000</v>
      </c>
      <c r="K15" s="358">
        <f>'IS 2024'!J15</f>
        <v>102750</v>
      </c>
      <c r="L15" s="358">
        <f>'IS 2024'!K15</f>
        <v>103000</v>
      </c>
      <c r="M15" s="358">
        <f>'IS 2024'!L15</f>
        <v>108500</v>
      </c>
      <c r="N15" s="358">
        <f>'IS 2024'!M15</f>
        <v>109000</v>
      </c>
      <c r="O15" s="358">
        <f>'IS 2024'!N15</f>
        <v>112500</v>
      </c>
      <c r="P15" s="358">
        <f>'IS 2024'!O15</f>
        <v>120000</v>
      </c>
      <c r="Q15" s="358">
        <f>'IS 2024'!P15</f>
        <v>124500</v>
      </c>
      <c r="R15" s="358">
        <f>'IS 2024'!Q15</f>
        <v>125000</v>
      </c>
      <c r="S15" s="358">
        <f>'CF 2025'!G15</f>
        <v>150800</v>
      </c>
      <c r="T15" s="358">
        <f>'CF 2025'!H15</f>
        <v>152880</v>
      </c>
      <c r="U15" s="358">
        <f>'CF 2025'!I15</f>
        <v>152880</v>
      </c>
      <c r="V15" s="359"/>
    </row>
    <row r="16" spans="1:22" x14ac:dyDescent="0.3">
      <c r="B16" s="145" t="s">
        <v>341</v>
      </c>
      <c r="C16" s="357"/>
      <c r="D16" s="357"/>
      <c r="E16" s="357"/>
      <c r="F16" s="357"/>
      <c r="G16" s="358">
        <f>'IS 2024'!F16</f>
        <v>191100</v>
      </c>
      <c r="H16" s="358">
        <f>'IS 2024'!G16</f>
        <v>285111</v>
      </c>
      <c r="I16" s="358">
        <f>'IS 2024'!H16</f>
        <v>202150</v>
      </c>
      <c r="J16" s="358">
        <f>'IS 2024'!I16</f>
        <v>287640</v>
      </c>
      <c r="K16" s="358">
        <f>'IS 2024'!J16</f>
        <v>198900</v>
      </c>
      <c r="L16" s="358">
        <f>'IS 2024'!K16</f>
        <v>220025</v>
      </c>
      <c r="M16" s="358">
        <f>'IS 2024'!L16</f>
        <v>209625</v>
      </c>
      <c r="N16" s="358">
        <f>'IS 2024'!M16</f>
        <v>228475</v>
      </c>
      <c r="O16" s="358">
        <f>'IS 2024'!N16</f>
        <v>230750</v>
      </c>
      <c r="P16" s="358">
        <f>'IS 2024'!O16</f>
        <v>248950</v>
      </c>
      <c r="Q16" s="358">
        <f>'IS 2024'!P16</f>
        <v>249275</v>
      </c>
      <c r="R16" s="358">
        <f>'IS 2024'!Q16</f>
        <v>259350</v>
      </c>
      <c r="S16" s="358">
        <f>'CF 2025'!G16</f>
        <v>338078.59200000006</v>
      </c>
      <c r="T16" s="358">
        <f>'CF 2025'!H16</f>
        <v>342857.08799999993</v>
      </c>
      <c r="U16" s="358">
        <f>'CF 2025'!I16</f>
        <v>347635.58399999997</v>
      </c>
      <c r="V16" s="359"/>
    </row>
    <row r="17" spans="1:22" x14ac:dyDescent="0.3">
      <c r="B17" s="360"/>
      <c r="C17" s="357"/>
      <c r="D17" s="357"/>
      <c r="E17" s="357"/>
      <c r="F17" s="357"/>
      <c r="G17" s="358"/>
      <c r="H17" s="358"/>
      <c r="I17" s="358"/>
      <c r="J17" s="358"/>
      <c r="K17" s="358"/>
      <c r="L17" s="358"/>
      <c r="M17" s="358"/>
      <c r="N17" s="358"/>
      <c r="O17" s="358"/>
      <c r="P17" s="359"/>
      <c r="Q17" s="358"/>
      <c r="R17" s="358"/>
      <c r="S17" s="358"/>
      <c r="T17" s="358"/>
      <c r="U17" s="358"/>
      <c r="V17" s="359"/>
    </row>
    <row r="18" spans="1:22" x14ac:dyDescent="0.3">
      <c r="B18" s="356" t="s">
        <v>45</v>
      </c>
      <c r="C18" s="357"/>
      <c r="D18" s="357"/>
      <c r="E18" s="357"/>
      <c r="F18" s="357"/>
      <c r="G18" s="358">
        <v>-625</v>
      </c>
      <c r="H18" s="358">
        <v>-625</v>
      </c>
      <c r="I18" s="358">
        <v>-625</v>
      </c>
      <c r="J18" s="358">
        <v>-625</v>
      </c>
      <c r="K18" s="358">
        <v>-625</v>
      </c>
      <c r="L18" s="358">
        <v>-625</v>
      </c>
      <c r="M18" s="358">
        <v>-625</v>
      </c>
      <c r="N18" s="358">
        <v>-625</v>
      </c>
      <c r="O18" s="358">
        <v>-625</v>
      </c>
      <c r="P18" s="358">
        <v>-625</v>
      </c>
      <c r="Q18" s="358">
        <v>-625</v>
      </c>
      <c r="R18" s="358">
        <v>-625</v>
      </c>
      <c r="S18" s="358">
        <v>-625</v>
      </c>
      <c r="T18" s="358">
        <v>-625</v>
      </c>
      <c r="U18" s="358">
        <v>-625</v>
      </c>
      <c r="V18" s="358">
        <f>SUM(G18:R18)</f>
        <v>-7500</v>
      </c>
    </row>
    <row r="19" spans="1:22" x14ac:dyDescent="0.3">
      <c r="B19" s="356" t="s">
        <v>153</v>
      </c>
      <c r="C19" s="357"/>
      <c r="D19" s="357"/>
      <c r="E19" s="357"/>
      <c r="F19" s="357"/>
      <c r="G19" s="358">
        <f>'IS 2024'!F62</f>
        <v>-110000</v>
      </c>
      <c r="H19" s="358">
        <f>'IS 2024'!G62</f>
        <v>-106636.40000000001</v>
      </c>
      <c r="I19" s="358">
        <f>'IS 2024'!H62</f>
        <v>-103272.8</v>
      </c>
      <c r="J19" s="358">
        <f>'IS 2024'!I62</f>
        <v>-99909.200000000012</v>
      </c>
      <c r="K19" s="358">
        <f>'IS 2024'!J62</f>
        <v>-96545.600000000006</v>
      </c>
      <c r="L19" s="358">
        <f>'IS 2024'!K62</f>
        <v>-93182</v>
      </c>
      <c r="M19" s="358">
        <f>'IS 2024'!L62</f>
        <v>-89818.400000000009</v>
      </c>
      <c r="N19" s="358">
        <f>'IS 2024'!M62</f>
        <v>-86454.8</v>
      </c>
      <c r="O19" s="358">
        <f>'IS 2024'!N62</f>
        <v>-83091.200000000012</v>
      </c>
      <c r="P19" s="358">
        <f>'IS 2024'!O62</f>
        <v>-79727.600000000006</v>
      </c>
      <c r="Q19" s="358">
        <f>'IS 2024'!P62</f>
        <v>-76364</v>
      </c>
      <c r="R19" s="358">
        <f>'IS 2024'!Q62</f>
        <v>-73000.400000000009</v>
      </c>
      <c r="S19" s="358">
        <f>'IS 2024'!R62</f>
        <v>-69636.800000000003</v>
      </c>
      <c r="T19" s="358">
        <f>'IS 2024'!S62</f>
        <v>-66273.2</v>
      </c>
      <c r="U19" s="358">
        <f>'IS 2024'!T62</f>
        <v>-62909.600000000006</v>
      </c>
      <c r="V19" s="359"/>
    </row>
    <row r="20" spans="1:22" x14ac:dyDescent="0.3">
      <c r="B20" s="356" t="s">
        <v>154</v>
      </c>
      <c r="C20" s="357"/>
      <c r="D20" s="357"/>
      <c r="E20" s="357"/>
      <c r="F20" s="357"/>
      <c r="G20" s="358">
        <f>'IS 2024'!F64</f>
        <v>-61821</v>
      </c>
      <c r="H20" s="358">
        <f>'IS 2024'!G64</f>
        <v>-81905.200000000012</v>
      </c>
      <c r="I20" s="358">
        <f>'IS 2024'!H64</f>
        <v>-68185</v>
      </c>
      <c r="J20" s="358">
        <f>'IS 2024'!I64</f>
        <v>-86025</v>
      </c>
      <c r="K20" s="358">
        <f>'IS 2024'!J64</f>
        <v>-69172</v>
      </c>
      <c r="L20" s="358">
        <f>'IS 2024'!K64</f>
        <v>-74231</v>
      </c>
      <c r="M20" s="358">
        <f>'IS 2024'!L64</f>
        <v>-70018</v>
      </c>
      <c r="N20" s="358">
        <f>'IS 2024'!M64</f>
        <v>-73916</v>
      </c>
      <c r="O20" s="358">
        <f>'IS 2024'!N64</f>
        <v>-75257</v>
      </c>
      <c r="P20" s="358">
        <f>'IS 2024'!O64</f>
        <v>-84112</v>
      </c>
      <c r="Q20" s="358">
        <f>'IS 2024'!P64</f>
        <v>-85511</v>
      </c>
      <c r="R20" s="358">
        <f>'IS 2024'!Q64</f>
        <v>-85795</v>
      </c>
      <c r="S20" s="358">
        <f>'IS 2024'!R64</f>
        <v>-105029.64560000003</v>
      </c>
      <c r="T20" s="358">
        <f>'IS 2024'!S64</f>
        <v>-106555.77840000001</v>
      </c>
      <c r="U20" s="358">
        <f>'IS 2024'!T64</f>
        <v>-107688.9112</v>
      </c>
      <c r="V20" s="359"/>
    </row>
    <row r="21" spans="1:22" x14ac:dyDescent="0.3">
      <c r="A21" s="154"/>
      <c r="B21" s="184" t="s">
        <v>155</v>
      </c>
      <c r="C21" s="154"/>
      <c r="D21" s="154"/>
      <c r="E21" s="154"/>
      <c r="F21" s="154"/>
      <c r="G21" s="217">
        <f t="shared" ref="G21:U21" si="1">G11</f>
        <v>330030</v>
      </c>
      <c r="H21" s="217">
        <f t="shared" si="1"/>
        <v>430451</v>
      </c>
      <c r="I21" s="217">
        <f t="shared" si="1"/>
        <v>361850</v>
      </c>
      <c r="J21" s="217">
        <f t="shared" si="1"/>
        <v>451050</v>
      </c>
      <c r="K21" s="217">
        <f t="shared" si="1"/>
        <v>366785</v>
      </c>
      <c r="L21" s="217">
        <f t="shared" si="1"/>
        <v>392080</v>
      </c>
      <c r="M21" s="217">
        <f t="shared" si="1"/>
        <v>371015</v>
      </c>
      <c r="N21" s="217">
        <f t="shared" si="1"/>
        <v>390505</v>
      </c>
      <c r="O21" s="217">
        <f t="shared" si="1"/>
        <v>397210</v>
      </c>
      <c r="P21" s="217">
        <f t="shared" si="1"/>
        <v>441485</v>
      </c>
      <c r="Q21" s="217">
        <f t="shared" si="1"/>
        <v>448480</v>
      </c>
      <c r="R21" s="217">
        <f t="shared" si="1"/>
        <v>449900</v>
      </c>
      <c r="S21" s="217">
        <f t="shared" si="1"/>
        <v>546073.22800000012</v>
      </c>
      <c r="T21" s="217">
        <f t="shared" si="1"/>
        <v>553703.89199999999</v>
      </c>
      <c r="U21" s="217">
        <f t="shared" si="1"/>
        <v>559369.55599999998</v>
      </c>
      <c r="V21" s="217">
        <f>SUM(G21:R21)</f>
        <v>4830841</v>
      </c>
    </row>
    <row r="22" spans="1:22" x14ac:dyDescent="0.3">
      <c r="A22" s="155"/>
      <c r="B22" s="205" t="s">
        <v>156</v>
      </c>
      <c r="C22" s="206"/>
      <c r="D22" s="206"/>
      <c r="E22" s="206"/>
      <c r="F22" s="206"/>
      <c r="G22" s="218">
        <f>SUM(G18:G20)</f>
        <v>-172446</v>
      </c>
      <c r="H22" s="218">
        <f t="shared" ref="H22:R22" si="2">SUM(H18:H20)</f>
        <v>-189166.60000000003</v>
      </c>
      <c r="I22" s="218">
        <f t="shared" si="2"/>
        <v>-172082.8</v>
      </c>
      <c r="J22" s="218">
        <f t="shared" si="2"/>
        <v>-186559.2</v>
      </c>
      <c r="K22" s="218">
        <f t="shared" si="2"/>
        <v>-166342.6</v>
      </c>
      <c r="L22" s="218">
        <f t="shared" si="2"/>
        <v>-168038</v>
      </c>
      <c r="M22" s="218">
        <f t="shared" si="2"/>
        <v>-160461.40000000002</v>
      </c>
      <c r="N22" s="218">
        <f t="shared" si="2"/>
        <v>-160995.79999999999</v>
      </c>
      <c r="O22" s="218">
        <f t="shared" si="2"/>
        <v>-158973.20000000001</v>
      </c>
      <c r="P22" s="218">
        <f t="shared" si="2"/>
        <v>-164464.6</v>
      </c>
      <c r="Q22" s="218">
        <f t="shared" si="2"/>
        <v>-162500</v>
      </c>
      <c r="R22" s="218">
        <f t="shared" si="2"/>
        <v>-159420.40000000002</v>
      </c>
      <c r="S22" s="218">
        <f t="shared" ref="S22:U22" si="3">SUM(S18:S20)</f>
        <v>-175291.44560000004</v>
      </c>
      <c r="T22" s="218">
        <f t="shared" si="3"/>
        <v>-173453.97840000002</v>
      </c>
      <c r="U22" s="218">
        <f t="shared" si="3"/>
        <v>-171223.51120000001</v>
      </c>
      <c r="V22" s="219">
        <f>SUM(G22:R22)</f>
        <v>-2021450.6</v>
      </c>
    </row>
    <row r="23" spans="1:22" x14ac:dyDescent="0.3">
      <c r="B23" s="157" t="s">
        <v>157</v>
      </c>
      <c r="C23" s="157"/>
      <c r="D23" s="157"/>
      <c r="E23" s="157"/>
      <c r="F23" s="157"/>
      <c r="G23" s="361">
        <f>SUM(G21:G22)</f>
        <v>157584</v>
      </c>
      <c r="H23" s="361">
        <f>SUM(H21:H22)</f>
        <v>241284.39999999997</v>
      </c>
      <c r="I23" s="361">
        <f t="shared" ref="I23:R23" si="4">SUM(I21:I22)</f>
        <v>189767.2</v>
      </c>
      <c r="J23" s="361">
        <f t="shared" si="4"/>
        <v>264490.8</v>
      </c>
      <c r="K23" s="361">
        <f t="shared" si="4"/>
        <v>200442.4</v>
      </c>
      <c r="L23" s="361">
        <f t="shared" si="4"/>
        <v>224042</v>
      </c>
      <c r="M23" s="361">
        <f t="shared" si="4"/>
        <v>210553.59999999998</v>
      </c>
      <c r="N23" s="361">
        <f t="shared" si="4"/>
        <v>229509.2</v>
      </c>
      <c r="O23" s="361">
        <f t="shared" si="4"/>
        <v>238236.79999999999</v>
      </c>
      <c r="P23" s="361">
        <f t="shared" si="4"/>
        <v>277020.40000000002</v>
      </c>
      <c r="Q23" s="361">
        <f t="shared" si="4"/>
        <v>285980</v>
      </c>
      <c r="R23" s="361">
        <f t="shared" si="4"/>
        <v>290479.59999999998</v>
      </c>
      <c r="S23" s="361">
        <f t="shared" ref="S23:U23" si="5">SUM(S21:S22)</f>
        <v>370781.78240000008</v>
      </c>
      <c r="T23" s="361">
        <f t="shared" si="5"/>
        <v>380249.91359999997</v>
      </c>
      <c r="U23" s="361">
        <f t="shared" si="5"/>
        <v>388146.04479999997</v>
      </c>
      <c r="V23" s="358">
        <f>SUM(G23:R23)</f>
        <v>2809390.4</v>
      </c>
    </row>
    <row r="24" spans="1:22" x14ac:dyDescent="0.3">
      <c r="B24" s="157" t="s">
        <v>199</v>
      </c>
      <c r="C24" s="157"/>
      <c r="D24" s="157"/>
      <c r="E24" s="157"/>
      <c r="F24" s="157"/>
      <c r="G24" s="361">
        <f>'IS 2024'!F60+G23</f>
        <v>155873</v>
      </c>
      <c r="H24" s="361">
        <f>'IS 2024'!G60+H23</f>
        <v>239573.39999999997</v>
      </c>
      <c r="I24" s="361">
        <f>'IS 2024'!H60+I23</f>
        <v>188056.2</v>
      </c>
      <c r="J24" s="361">
        <f>'IS 2024'!I60+J23</f>
        <v>262779.8</v>
      </c>
      <c r="K24" s="361">
        <f>'IS 2024'!J60+K23</f>
        <v>198731.4</v>
      </c>
      <c r="L24" s="361">
        <f>'IS 2024'!K60+L23</f>
        <v>222331</v>
      </c>
      <c r="M24" s="361">
        <f>'IS 2024'!L60+M23</f>
        <v>208842.59999999998</v>
      </c>
      <c r="N24" s="361">
        <f>'IS 2024'!M60+N23</f>
        <v>227798.2</v>
      </c>
      <c r="O24" s="361">
        <f>'IS 2024'!N60+O23</f>
        <v>236525.8</v>
      </c>
      <c r="P24" s="361">
        <f>'IS 2024'!O60+P23</f>
        <v>275309.40000000002</v>
      </c>
      <c r="Q24" s="361">
        <f>'IS 2024'!P60+Q23</f>
        <v>284269</v>
      </c>
      <c r="R24" s="361">
        <f>'IS 2024'!Q60+R23</f>
        <v>288768.59999999998</v>
      </c>
      <c r="S24" s="361">
        <f>'IS 2024'!R60+S23</f>
        <v>369331.78240000008</v>
      </c>
      <c r="T24" s="361">
        <f>'IS 2024'!S60+T23</f>
        <v>378799.91359999997</v>
      </c>
      <c r="U24" s="361">
        <f>'IS 2024'!T60+U23</f>
        <v>386696.04479999997</v>
      </c>
      <c r="V24" s="359"/>
    </row>
    <row r="25" spans="1:22" x14ac:dyDescent="0.3">
      <c r="B25" s="362" t="s">
        <v>158</v>
      </c>
      <c r="C25" s="157"/>
      <c r="D25" s="157"/>
      <c r="E25" s="157"/>
      <c r="F25" s="157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63"/>
      <c r="U25" s="363"/>
      <c r="V25" s="359"/>
    </row>
    <row r="26" spans="1:22" x14ac:dyDescent="0.3">
      <c r="B26" s="364" t="s">
        <v>159</v>
      </c>
      <c r="C26" s="157"/>
      <c r="D26" s="157"/>
      <c r="E26" s="157"/>
      <c r="F26" s="157"/>
      <c r="G26" s="361">
        <v>450000</v>
      </c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59"/>
    </row>
    <row r="27" spans="1:22" x14ac:dyDescent="0.3">
      <c r="B27" s="365" t="s">
        <v>121</v>
      </c>
      <c r="C27" s="157"/>
      <c r="D27" s="157"/>
      <c r="E27" s="157"/>
      <c r="F27" s="157"/>
      <c r="G27" s="361"/>
      <c r="H27" s="363"/>
      <c r="I27" s="363"/>
      <c r="J27" s="363"/>
      <c r="K27" s="363"/>
      <c r="L27" s="363"/>
      <c r="M27" s="363"/>
      <c r="N27" s="363"/>
      <c r="O27" s="363"/>
      <c r="P27" s="363"/>
      <c r="Q27" s="363"/>
      <c r="R27" s="363"/>
      <c r="S27" s="363"/>
      <c r="T27" s="363"/>
      <c r="U27" s="363"/>
      <c r="V27" s="359"/>
    </row>
    <row r="28" spans="1:22" x14ac:dyDescent="0.3">
      <c r="B28" s="364" t="s">
        <v>160</v>
      </c>
      <c r="C28" s="157"/>
      <c r="D28" s="157"/>
      <c r="E28" s="157"/>
      <c r="F28" s="157"/>
      <c r="G28" s="361">
        <f>SUM(G26:G27)</f>
        <v>450000</v>
      </c>
      <c r="H28" s="361">
        <f t="shared" ref="H28:R28" si="6">SUM(H26:H27)</f>
        <v>0</v>
      </c>
      <c r="I28" s="361">
        <f t="shared" si="6"/>
        <v>0</v>
      </c>
      <c r="J28" s="361">
        <f t="shared" si="6"/>
        <v>0</v>
      </c>
      <c r="K28" s="361">
        <f t="shared" si="6"/>
        <v>0</v>
      </c>
      <c r="L28" s="361">
        <f t="shared" si="6"/>
        <v>0</v>
      </c>
      <c r="M28" s="361">
        <f t="shared" si="6"/>
        <v>0</v>
      </c>
      <c r="N28" s="361">
        <f t="shared" si="6"/>
        <v>0</v>
      </c>
      <c r="O28" s="361">
        <f t="shared" si="6"/>
        <v>0</v>
      </c>
      <c r="P28" s="361">
        <f t="shared" si="6"/>
        <v>0</v>
      </c>
      <c r="Q28" s="361">
        <f t="shared" si="6"/>
        <v>0</v>
      </c>
      <c r="R28" s="361">
        <f t="shared" si="6"/>
        <v>0</v>
      </c>
      <c r="S28" s="361">
        <f t="shared" ref="S28:U28" si="7">SUM(S26:S27)</f>
        <v>0</v>
      </c>
      <c r="T28" s="361">
        <f t="shared" si="7"/>
        <v>0</v>
      </c>
      <c r="U28" s="361">
        <f t="shared" si="7"/>
        <v>0</v>
      </c>
      <c r="V28" s="359"/>
    </row>
    <row r="29" spans="1:22" x14ac:dyDescent="0.3">
      <c r="B29" s="366" t="s">
        <v>161</v>
      </c>
      <c r="C29" s="157"/>
      <c r="D29" s="157"/>
      <c r="E29" s="157"/>
      <c r="F29" s="157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59"/>
    </row>
    <row r="30" spans="1:22" x14ac:dyDescent="0.3">
      <c r="B30" s="356" t="s">
        <v>162</v>
      </c>
      <c r="C30" s="357"/>
      <c r="D30" s="357"/>
      <c r="E30" s="357"/>
      <c r="F30" s="357"/>
      <c r="G30" s="358">
        <v>-450000</v>
      </c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</row>
    <row r="31" spans="1:22" x14ac:dyDescent="0.3">
      <c r="B31" s="360" t="s">
        <v>121</v>
      </c>
      <c r="C31" s="357"/>
      <c r="D31" s="357"/>
      <c r="E31" s="357"/>
      <c r="F31" s="357"/>
      <c r="G31" s="358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</row>
    <row r="32" spans="1:22" x14ac:dyDescent="0.3">
      <c r="B32" s="360" t="s">
        <v>122</v>
      </c>
      <c r="C32" s="357"/>
      <c r="D32" s="357"/>
      <c r="E32" s="357"/>
      <c r="F32" s="357"/>
      <c r="G32" s="358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</row>
    <row r="33" spans="1:22" x14ac:dyDescent="0.3">
      <c r="B33" s="360" t="s">
        <v>123</v>
      </c>
      <c r="C33" s="357"/>
      <c r="D33" s="357"/>
      <c r="E33" s="357"/>
      <c r="F33" s="357"/>
      <c r="G33" s="358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</row>
    <row r="34" spans="1:22" x14ac:dyDescent="0.3">
      <c r="B34" s="356" t="s">
        <v>163</v>
      </c>
      <c r="C34" s="357"/>
      <c r="D34" s="357"/>
      <c r="E34" s="357"/>
      <c r="F34" s="357"/>
      <c r="G34" s="359"/>
      <c r="H34" s="358">
        <v>-16818</v>
      </c>
      <c r="I34" s="358">
        <v>-16818</v>
      </c>
      <c r="J34" s="358">
        <v>-16818</v>
      </c>
      <c r="K34" s="358">
        <v>-16818</v>
      </c>
      <c r="L34" s="358">
        <v>-16818</v>
      </c>
      <c r="M34" s="358">
        <v>-16818</v>
      </c>
      <c r="N34" s="358">
        <v>-16818</v>
      </c>
      <c r="O34" s="358">
        <v>-16818</v>
      </c>
      <c r="P34" s="358">
        <v>-16818</v>
      </c>
      <c r="Q34" s="358">
        <v>-16818</v>
      </c>
      <c r="R34" s="358">
        <v>-16818</v>
      </c>
      <c r="S34" s="358">
        <v>-16818</v>
      </c>
      <c r="T34" s="358">
        <v>-16818</v>
      </c>
      <c r="U34" s="358">
        <v>-16818</v>
      </c>
      <c r="V34" s="358">
        <f>SUM(G34:R34)</f>
        <v>-184998</v>
      </c>
    </row>
    <row r="35" spans="1:22" x14ac:dyDescent="0.3">
      <c r="B35" s="360" t="s">
        <v>121</v>
      </c>
      <c r="C35" s="357"/>
      <c r="D35" s="357"/>
      <c r="E35" s="357"/>
      <c r="F35" s="357"/>
      <c r="G35" s="359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9"/>
    </row>
    <row r="36" spans="1:22" x14ac:dyDescent="0.3">
      <c r="B36" s="356" t="s">
        <v>164</v>
      </c>
      <c r="C36" s="357"/>
      <c r="D36" s="357"/>
      <c r="E36" s="357"/>
      <c r="F36" s="357"/>
      <c r="G36" s="358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</row>
    <row r="37" spans="1:22" x14ac:dyDescent="0.3">
      <c r="B37" s="360" t="s">
        <v>121</v>
      </c>
      <c r="C37" s="357"/>
      <c r="D37" s="357"/>
      <c r="E37" s="357"/>
      <c r="F37" s="357"/>
      <c r="G37" s="358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</row>
    <row r="38" spans="1:22" x14ac:dyDescent="0.3">
      <c r="B38" s="356" t="s">
        <v>165</v>
      </c>
      <c r="C38" s="357"/>
      <c r="D38" s="357"/>
      <c r="E38" s="357"/>
      <c r="F38" s="357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</row>
    <row r="39" spans="1:22" x14ac:dyDescent="0.3">
      <c r="B39" s="360" t="s">
        <v>121</v>
      </c>
      <c r="C39" s="357"/>
      <c r="D39" s="357"/>
      <c r="E39" s="357"/>
      <c r="F39" s="357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</row>
    <row r="40" spans="1:22" x14ac:dyDescent="0.3">
      <c r="B40" s="356" t="s">
        <v>166</v>
      </c>
      <c r="C40" s="357"/>
      <c r="D40" s="357"/>
      <c r="E40" s="357"/>
      <c r="F40" s="357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</row>
    <row r="41" spans="1:22" x14ac:dyDescent="0.3">
      <c r="B41" s="360" t="s">
        <v>121</v>
      </c>
      <c r="C41" s="357"/>
      <c r="D41" s="357"/>
      <c r="E41" s="357"/>
      <c r="F41" s="357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</row>
    <row r="42" spans="1:22" x14ac:dyDescent="0.3">
      <c r="B42" s="356" t="s">
        <v>52</v>
      </c>
      <c r="C42" s="357"/>
      <c r="D42" s="357"/>
      <c r="E42" s="357"/>
      <c r="F42" s="357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</row>
    <row r="43" spans="1:22" x14ac:dyDescent="0.3">
      <c r="B43" s="356" t="s">
        <v>167</v>
      </c>
      <c r="C43" s="357"/>
      <c r="D43" s="357"/>
      <c r="E43" s="357"/>
      <c r="F43" s="357"/>
      <c r="G43" s="358">
        <f>SUM(G30:G42)</f>
        <v>-450000</v>
      </c>
      <c r="H43" s="358">
        <f t="shared" ref="H43:R43" si="8">SUM(H30:H42)</f>
        <v>-16818</v>
      </c>
      <c r="I43" s="358">
        <f t="shared" si="8"/>
        <v>-16818</v>
      </c>
      <c r="J43" s="358">
        <f t="shared" si="8"/>
        <v>-16818</v>
      </c>
      <c r="K43" s="358">
        <f t="shared" si="8"/>
        <v>-16818</v>
      </c>
      <c r="L43" s="358">
        <f t="shared" si="8"/>
        <v>-16818</v>
      </c>
      <c r="M43" s="358">
        <f t="shared" si="8"/>
        <v>-16818</v>
      </c>
      <c r="N43" s="358">
        <f t="shared" si="8"/>
        <v>-16818</v>
      </c>
      <c r="O43" s="358">
        <f t="shared" si="8"/>
        <v>-16818</v>
      </c>
      <c r="P43" s="358">
        <f t="shared" si="8"/>
        <v>-16818</v>
      </c>
      <c r="Q43" s="358">
        <f t="shared" si="8"/>
        <v>-16818</v>
      </c>
      <c r="R43" s="358">
        <f t="shared" si="8"/>
        <v>-16818</v>
      </c>
      <c r="S43" s="358">
        <f t="shared" ref="S43:U43" si="9">SUM(S30:S42)</f>
        <v>-16818</v>
      </c>
      <c r="T43" s="358">
        <f t="shared" si="9"/>
        <v>-16818</v>
      </c>
      <c r="U43" s="358">
        <f t="shared" si="9"/>
        <v>-16818</v>
      </c>
      <c r="V43" s="359"/>
    </row>
    <row r="44" spans="1:22" x14ac:dyDescent="0.3">
      <c r="A44" s="214"/>
      <c r="B44" s="367" t="s">
        <v>168</v>
      </c>
      <c r="C44" s="368"/>
      <c r="D44" s="368"/>
      <c r="E44" s="368"/>
      <c r="F44" s="368"/>
      <c r="G44" s="369">
        <f>G53</f>
        <v>157584</v>
      </c>
      <c r="H44" s="369">
        <f>H23+H43</f>
        <v>224466.39999999997</v>
      </c>
      <c r="I44" s="369">
        <f>I23+I43</f>
        <v>172949.2</v>
      </c>
      <c r="J44" s="369">
        <f>J23+J43</f>
        <v>247672.8</v>
      </c>
      <c r="K44" s="369">
        <f t="shared" ref="K44:R44" si="10">K23+K43</f>
        <v>183624.4</v>
      </c>
      <c r="L44" s="369">
        <f t="shared" si="10"/>
        <v>207224</v>
      </c>
      <c r="M44" s="369">
        <f t="shared" si="10"/>
        <v>193735.59999999998</v>
      </c>
      <c r="N44" s="369">
        <f t="shared" si="10"/>
        <v>212691.20000000001</v>
      </c>
      <c r="O44" s="369">
        <f t="shared" si="10"/>
        <v>221418.8</v>
      </c>
      <c r="P44" s="369">
        <f t="shared" si="10"/>
        <v>260202.40000000002</v>
      </c>
      <c r="Q44" s="369">
        <f t="shared" si="10"/>
        <v>269162</v>
      </c>
      <c r="R44" s="369">
        <f t="shared" si="10"/>
        <v>273661.59999999998</v>
      </c>
      <c r="S44" s="369">
        <f t="shared" ref="S44:U44" si="11">S23+S43</f>
        <v>353963.78240000008</v>
      </c>
      <c r="T44" s="369">
        <f t="shared" si="11"/>
        <v>363431.91359999997</v>
      </c>
      <c r="U44" s="369">
        <f t="shared" si="11"/>
        <v>371328.04479999997</v>
      </c>
      <c r="V44" s="369">
        <f>SUM(G44:R44)</f>
        <v>2624392.4</v>
      </c>
    </row>
    <row r="45" spans="1:22" x14ac:dyDescent="0.3">
      <c r="A45" s="154"/>
      <c r="B45" s="181" t="s">
        <v>169</v>
      </c>
      <c r="C45" s="154"/>
      <c r="D45" s="154"/>
      <c r="E45" s="154"/>
      <c r="F45" s="154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</row>
    <row r="46" spans="1:22" x14ac:dyDescent="0.3">
      <c r="B46" s="370" t="s">
        <v>160</v>
      </c>
      <c r="C46" s="370"/>
      <c r="D46" s="370"/>
      <c r="E46" s="370"/>
      <c r="F46" s="370"/>
      <c r="G46" s="371">
        <f>G28</f>
        <v>450000</v>
      </c>
      <c r="H46" s="371">
        <f t="shared" ref="H46:R46" si="12">H28</f>
        <v>0</v>
      </c>
      <c r="I46" s="371">
        <f t="shared" si="12"/>
        <v>0</v>
      </c>
      <c r="J46" s="371">
        <f t="shared" si="12"/>
        <v>0</v>
      </c>
      <c r="K46" s="371">
        <f t="shared" si="12"/>
        <v>0</v>
      </c>
      <c r="L46" s="371">
        <f t="shared" si="12"/>
        <v>0</v>
      </c>
      <c r="M46" s="371">
        <f t="shared" si="12"/>
        <v>0</v>
      </c>
      <c r="N46" s="371">
        <f t="shared" si="12"/>
        <v>0</v>
      </c>
      <c r="O46" s="371">
        <f t="shared" si="12"/>
        <v>0</v>
      </c>
      <c r="P46" s="371">
        <f t="shared" si="12"/>
        <v>0</v>
      </c>
      <c r="Q46" s="371">
        <f t="shared" si="12"/>
        <v>0</v>
      </c>
      <c r="R46" s="371">
        <f t="shared" si="12"/>
        <v>0</v>
      </c>
      <c r="S46" s="371">
        <f t="shared" ref="S46:U46" si="13">S28</f>
        <v>0</v>
      </c>
      <c r="T46" s="371">
        <f t="shared" si="13"/>
        <v>0</v>
      </c>
      <c r="U46" s="371">
        <f t="shared" si="13"/>
        <v>0</v>
      </c>
      <c r="V46" s="9"/>
    </row>
    <row r="47" spans="1:22" x14ac:dyDescent="0.3">
      <c r="B47" s="157" t="s">
        <v>167</v>
      </c>
      <c r="C47" s="157"/>
      <c r="D47" s="157"/>
      <c r="E47" s="157"/>
      <c r="F47" s="157"/>
      <c r="G47" s="361">
        <f>G43</f>
        <v>-450000</v>
      </c>
      <c r="H47" s="361">
        <f t="shared" ref="H47:R47" si="14">H43</f>
        <v>-16818</v>
      </c>
      <c r="I47" s="361">
        <f t="shared" si="14"/>
        <v>-16818</v>
      </c>
      <c r="J47" s="361">
        <f t="shared" si="14"/>
        <v>-16818</v>
      </c>
      <c r="K47" s="361">
        <f t="shared" si="14"/>
        <v>-16818</v>
      </c>
      <c r="L47" s="361">
        <f t="shared" si="14"/>
        <v>-16818</v>
      </c>
      <c r="M47" s="361">
        <f t="shared" si="14"/>
        <v>-16818</v>
      </c>
      <c r="N47" s="361">
        <f t="shared" si="14"/>
        <v>-16818</v>
      </c>
      <c r="O47" s="361">
        <f t="shared" si="14"/>
        <v>-16818</v>
      </c>
      <c r="P47" s="361">
        <f t="shared" si="14"/>
        <v>-16818</v>
      </c>
      <c r="Q47" s="361">
        <f t="shared" si="14"/>
        <v>-16818</v>
      </c>
      <c r="R47" s="361">
        <f t="shared" si="14"/>
        <v>-16818</v>
      </c>
      <c r="S47" s="361">
        <f t="shared" ref="S47:U47" si="15">S43</f>
        <v>-16818</v>
      </c>
      <c r="T47" s="361">
        <f t="shared" si="15"/>
        <v>-16818</v>
      </c>
      <c r="U47" s="361">
        <f t="shared" si="15"/>
        <v>-16818</v>
      </c>
      <c r="V47" s="9"/>
    </row>
    <row r="48" spans="1:22" x14ac:dyDescent="0.3">
      <c r="B48" s="157" t="s">
        <v>44</v>
      </c>
      <c r="C48" s="157"/>
      <c r="D48" s="157"/>
      <c r="E48" s="157"/>
      <c r="F48" s="157"/>
      <c r="G48" s="361">
        <f t="shared" ref="G48:U48" si="16">G11</f>
        <v>330030</v>
      </c>
      <c r="H48" s="361">
        <f t="shared" si="16"/>
        <v>430451</v>
      </c>
      <c r="I48" s="361">
        <f t="shared" si="16"/>
        <v>361850</v>
      </c>
      <c r="J48" s="361">
        <f t="shared" si="16"/>
        <v>451050</v>
      </c>
      <c r="K48" s="361">
        <f t="shared" si="16"/>
        <v>366785</v>
      </c>
      <c r="L48" s="361">
        <f t="shared" si="16"/>
        <v>392080</v>
      </c>
      <c r="M48" s="361">
        <f t="shared" si="16"/>
        <v>371015</v>
      </c>
      <c r="N48" s="361">
        <f t="shared" si="16"/>
        <v>390505</v>
      </c>
      <c r="O48" s="361">
        <f t="shared" si="16"/>
        <v>397210</v>
      </c>
      <c r="P48" s="361">
        <f t="shared" si="16"/>
        <v>441485</v>
      </c>
      <c r="Q48" s="361">
        <f t="shared" si="16"/>
        <v>448480</v>
      </c>
      <c r="R48" s="361">
        <f t="shared" si="16"/>
        <v>449900</v>
      </c>
      <c r="S48" s="361">
        <f t="shared" si="16"/>
        <v>546073.22800000012</v>
      </c>
      <c r="T48" s="361">
        <f t="shared" si="16"/>
        <v>553703.89199999999</v>
      </c>
      <c r="U48" s="361">
        <f t="shared" si="16"/>
        <v>559369.55599999998</v>
      </c>
      <c r="V48" s="9"/>
    </row>
    <row r="49" spans="1:22" x14ac:dyDescent="0.3">
      <c r="B49" s="157" t="s">
        <v>45</v>
      </c>
      <c r="C49" s="157"/>
      <c r="D49" s="157"/>
      <c r="E49" s="157"/>
      <c r="F49" s="157"/>
      <c r="G49" s="361">
        <f>G18</f>
        <v>-625</v>
      </c>
      <c r="H49" s="361">
        <f t="shared" ref="H49:R49" si="17">H18</f>
        <v>-625</v>
      </c>
      <c r="I49" s="361">
        <f t="shared" si="17"/>
        <v>-625</v>
      </c>
      <c r="J49" s="361">
        <f t="shared" si="17"/>
        <v>-625</v>
      </c>
      <c r="K49" s="361">
        <f t="shared" si="17"/>
        <v>-625</v>
      </c>
      <c r="L49" s="361">
        <f t="shared" si="17"/>
        <v>-625</v>
      </c>
      <c r="M49" s="361">
        <f t="shared" si="17"/>
        <v>-625</v>
      </c>
      <c r="N49" s="361">
        <f t="shared" si="17"/>
        <v>-625</v>
      </c>
      <c r="O49" s="361">
        <f t="shared" si="17"/>
        <v>-625</v>
      </c>
      <c r="P49" s="361">
        <f t="shared" si="17"/>
        <v>-625</v>
      </c>
      <c r="Q49" s="361">
        <f t="shared" si="17"/>
        <v>-625</v>
      </c>
      <c r="R49" s="361">
        <f t="shared" si="17"/>
        <v>-625</v>
      </c>
      <c r="S49" s="361">
        <f t="shared" ref="S49:U49" si="18">S18</f>
        <v>-625</v>
      </c>
      <c r="T49" s="361">
        <f t="shared" si="18"/>
        <v>-625</v>
      </c>
      <c r="U49" s="361">
        <f t="shared" si="18"/>
        <v>-625</v>
      </c>
      <c r="V49" s="9"/>
    </row>
    <row r="50" spans="1:22" x14ac:dyDescent="0.3">
      <c r="B50" s="157" t="s">
        <v>170</v>
      </c>
      <c r="C50" s="157"/>
      <c r="D50" s="157"/>
      <c r="E50" s="157"/>
      <c r="F50" s="157"/>
      <c r="G50" s="361">
        <f>SUM(G46:G49)</f>
        <v>329405</v>
      </c>
      <c r="H50" s="361">
        <f t="shared" ref="H50:R50" si="19">SUM(H46:H49)</f>
        <v>413008</v>
      </c>
      <c r="I50" s="361">
        <f t="shared" si="19"/>
        <v>344407</v>
      </c>
      <c r="J50" s="361">
        <f t="shared" si="19"/>
        <v>433607</v>
      </c>
      <c r="K50" s="361">
        <f t="shared" si="19"/>
        <v>349342</v>
      </c>
      <c r="L50" s="361">
        <f t="shared" si="19"/>
        <v>374637</v>
      </c>
      <c r="M50" s="361">
        <f t="shared" si="19"/>
        <v>353572</v>
      </c>
      <c r="N50" s="361">
        <f t="shared" si="19"/>
        <v>373062</v>
      </c>
      <c r="O50" s="361">
        <f t="shared" si="19"/>
        <v>379767</v>
      </c>
      <c r="P50" s="361">
        <f t="shared" si="19"/>
        <v>424042</v>
      </c>
      <c r="Q50" s="361">
        <f t="shared" si="19"/>
        <v>431037</v>
      </c>
      <c r="R50" s="361">
        <f t="shared" si="19"/>
        <v>432457</v>
      </c>
      <c r="S50" s="361">
        <f t="shared" ref="S50:U50" si="20">SUM(S46:S49)</f>
        <v>528630.22800000012</v>
      </c>
      <c r="T50" s="361">
        <f t="shared" si="20"/>
        <v>536260.89199999999</v>
      </c>
      <c r="U50" s="361">
        <f t="shared" si="20"/>
        <v>541926.55599999998</v>
      </c>
      <c r="V50" s="9"/>
    </row>
    <row r="51" spans="1:22" x14ac:dyDescent="0.3">
      <c r="B51" s="157" t="s">
        <v>153</v>
      </c>
      <c r="C51" s="157"/>
      <c r="D51" s="157"/>
      <c r="E51" s="157"/>
      <c r="F51" s="157"/>
      <c r="G51" s="361">
        <f>G19</f>
        <v>-110000</v>
      </c>
      <c r="H51" s="361">
        <f t="shared" ref="H51:U51" si="21">H19</f>
        <v>-106636.40000000001</v>
      </c>
      <c r="I51" s="361">
        <f t="shared" si="21"/>
        <v>-103272.8</v>
      </c>
      <c r="J51" s="361">
        <f t="shared" si="21"/>
        <v>-99909.200000000012</v>
      </c>
      <c r="K51" s="361">
        <f t="shared" si="21"/>
        <v>-96545.600000000006</v>
      </c>
      <c r="L51" s="361">
        <f t="shared" si="21"/>
        <v>-93182</v>
      </c>
      <c r="M51" s="361">
        <f t="shared" si="21"/>
        <v>-89818.400000000009</v>
      </c>
      <c r="N51" s="361">
        <f t="shared" si="21"/>
        <v>-86454.8</v>
      </c>
      <c r="O51" s="361">
        <f t="shared" si="21"/>
        <v>-83091.200000000012</v>
      </c>
      <c r="P51" s="361">
        <f t="shared" si="21"/>
        <v>-79727.600000000006</v>
      </c>
      <c r="Q51" s="361">
        <f t="shared" si="21"/>
        <v>-76364</v>
      </c>
      <c r="R51" s="361">
        <f t="shared" si="21"/>
        <v>-73000.400000000009</v>
      </c>
      <c r="S51" s="361">
        <f t="shared" si="21"/>
        <v>-69636.800000000003</v>
      </c>
      <c r="T51" s="361">
        <f t="shared" si="21"/>
        <v>-66273.2</v>
      </c>
      <c r="U51" s="361">
        <f t="shared" si="21"/>
        <v>-62909.600000000006</v>
      </c>
      <c r="V51" s="9"/>
    </row>
    <row r="52" spans="1:22" x14ac:dyDescent="0.3">
      <c r="B52" s="157" t="s">
        <v>154</v>
      </c>
      <c r="C52" s="157"/>
      <c r="D52" s="157"/>
      <c r="E52" s="157"/>
      <c r="F52" s="157"/>
      <c r="G52" s="372">
        <f>G20</f>
        <v>-61821</v>
      </c>
      <c r="H52" s="372">
        <f t="shared" ref="H52:U52" si="22">H20</f>
        <v>-81905.200000000012</v>
      </c>
      <c r="I52" s="372">
        <f t="shared" si="22"/>
        <v>-68185</v>
      </c>
      <c r="J52" s="372">
        <f t="shared" si="22"/>
        <v>-86025</v>
      </c>
      <c r="K52" s="372">
        <f t="shared" si="22"/>
        <v>-69172</v>
      </c>
      <c r="L52" s="372">
        <f t="shared" si="22"/>
        <v>-74231</v>
      </c>
      <c r="M52" s="372">
        <f t="shared" si="22"/>
        <v>-70018</v>
      </c>
      <c r="N52" s="372">
        <f t="shared" si="22"/>
        <v>-73916</v>
      </c>
      <c r="O52" s="372">
        <f t="shared" si="22"/>
        <v>-75257</v>
      </c>
      <c r="P52" s="372">
        <f t="shared" si="22"/>
        <v>-84112</v>
      </c>
      <c r="Q52" s="372">
        <f t="shared" si="22"/>
        <v>-85511</v>
      </c>
      <c r="R52" s="372">
        <f t="shared" si="22"/>
        <v>-85795</v>
      </c>
      <c r="S52" s="372">
        <f t="shared" si="22"/>
        <v>-105029.64560000003</v>
      </c>
      <c r="T52" s="372">
        <f t="shared" si="22"/>
        <v>-106555.77840000001</v>
      </c>
      <c r="U52" s="372">
        <f t="shared" si="22"/>
        <v>-107688.9112</v>
      </c>
      <c r="V52" s="9"/>
    </row>
    <row r="53" spans="1:22" x14ac:dyDescent="0.3">
      <c r="B53" s="157" t="s">
        <v>168</v>
      </c>
      <c r="C53" s="157"/>
      <c r="D53" s="157"/>
      <c r="E53" s="157"/>
      <c r="F53" s="157"/>
      <c r="G53" s="361">
        <f>SUM(G50:G52)</f>
        <v>157584</v>
      </c>
      <c r="H53" s="361">
        <f>SUM(H50:H52)</f>
        <v>224466.39999999997</v>
      </c>
      <c r="I53" s="361">
        <f t="shared" ref="I53:R53" si="23">SUM(I50:I52)</f>
        <v>172949.2</v>
      </c>
      <c r="J53" s="361">
        <f t="shared" si="23"/>
        <v>247672.8</v>
      </c>
      <c r="K53" s="361">
        <f t="shared" si="23"/>
        <v>183624.4</v>
      </c>
      <c r="L53" s="361">
        <f t="shared" si="23"/>
        <v>207224</v>
      </c>
      <c r="M53" s="361">
        <f t="shared" si="23"/>
        <v>193735.59999999998</v>
      </c>
      <c r="N53" s="361">
        <f t="shared" si="23"/>
        <v>212691.20000000001</v>
      </c>
      <c r="O53" s="361">
        <f t="shared" si="23"/>
        <v>221418.8</v>
      </c>
      <c r="P53" s="361">
        <f t="shared" si="23"/>
        <v>260202.40000000002</v>
      </c>
      <c r="Q53" s="361">
        <f t="shared" si="23"/>
        <v>269162</v>
      </c>
      <c r="R53" s="361">
        <f t="shared" si="23"/>
        <v>273661.59999999998</v>
      </c>
      <c r="S53" s="361">
        <f t="shared" ref="S53:U53" si="24">SUM(S50:S52)</f>
        <v>353963.78240000008</v>
      </c>
      <c r="T53" s="361">
        <f t="shared" si="24"/>
        <v>363431.91359999997</v>
      </c>
      <c r="U53" s="361">
        <f t="shared" si="24"/>
        <v>371328.04480000003</v>
      </c>
      <c r="V53" s="9"/>
    </row>
    <row r="54" spans="1:22" x14ac:dyDescent="0.3">
      <c r="B54" s="13"/>
      <c r="C54" s="13"/>
      <c r="D54" s="13"/>
      <c r="E54" s="13"/>
      <c r="F54" s="13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9"/>
    </row>
    <row r="55" spans="1:22" x14ac:dyDescent="0.3">
      <c r="A55" s="154"/>
      <c r="B55" s="181" t="s">
        <v>171</v>
      </c>
      <c r="C55" s="154"/>
      <c r="D55" s="154"/>
      <c r="E55" s="154"/>
      <c r="F55" s="154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</row>
    <row r="56" spans="1:22" x14ac:dyDescent="0.3">
      <c r="B56" s="357" t="s">
        <v>172</v>
      </c>
      <c r="C56" s="357"/>
      <c r="D56" s="357"/>
      <c r="E56" s="357"/>
      <c r="F56" s="357"/>
      <c r="G56" s="358">
        <f>SUM(G23+G28)</f>
        <v>607584</v>
      </c>
      <c r="H56" s="358">
        <f t="shared" ref="H56:R56" si="25">SUM(H23+H28)</f>
        <v>241284.39999999997</v>
      </c>
      <c r="I56" s="358">
        <f t="shared" si="25"/>
        <v>189767.2</v>
      </c>
      <c r="J56" s="358">
        <f t="shared" si="25"/>
        <v>264490.8</v>
      </c>
      <c r="K56" s="358">
        <f t="shared" si="25"/>
        <v>200442.4</v>
      </c>
      <c r="L56" s="358">
        <f t="shared" si="25"/>
        <v>224042</v>
      </c>
      <c r="M56" s="358">
        <f t="shared" si="25"/>
        <v>210553.59999999998</v>
      </c>
      <c r="N56" s="358">
        <f t="shared" si="25"/>
        <v>229509.2</v>
      </c>
      <c r="O56" s="358">
        <f t="shared" si="25"/>
        <v>238236.79999999999</v>
      </c>
      <c r="P56" s="358">
        <f t="shared" si="25"/>
        <v>277020.40000000002</v>
      </c>
      <c r="Q56" s="358">
        <f t="shared" si="25"/>
        <v>285980</v>
      </c>
      <c r="R56" s="358">
        <f t="shared" si="25"/>
        <v>290479.59999999998</v>
      </c>
      <c r="S56" s="358">
        <f t="shared" ref="S56:U56" si="26">SUM(S23+S28)</f>
        <v>370781.78240000008</v>
      </c>
      <c r="T56" s="358">
        <f t="shared" si="26"/>
        <v>380249.91359999997</v>
      </c>
      <c r="U56" s="358">
        <f t="shared" si="26"/>
        <v>388146.04479999997</v>
      </c>
      <c r="V56" s="9"/>
    </row>
    <row r="57" spans="1:22" x14ac:dyDescent="0.3">
      <c r="B57" s="357" t="s">
        <v>173</v>
      </c>
      <c r="C57" s="357"/>
      <c r="D57" s="357"/>
      <c r="E57" s="357"/>
      <c r="F57" s="357"/>
      <c r="G57" s="358">
        <f>G53</f>
        <v>157584</v>
      </c>
      <c r="H57" s="358">
        <f t="shared" ref="H57:R57" si="27">H53</f>
        <v>224466.39999999997</v>
      </c>
      <c r="I57" s="358">
        <f t="shared" si="27"/>
        <v>172949.2</v>
      </c>
      <c r="J57" s="358">
        <f t="shared" si="27"/>
        <v>247672.8</v>
      </c>
      <c r="K57" s="358">
        <f t="shared" si="27"/>
        <v>183624.4</v>
      </c>
      <c r="L57" s="358">
        <f t="shared" si="27"/>
        <v>207224</v>
      </c>
      <c r="M57" s="358">
        <f t="shared" si="27"/>
        <v>193735.59999999998</v>
      </c>
      <c r="N57" s="358">
        <f t="shared" si="27"/>
        <v>212691.20000000001</v>
      </c>
      <c r="O57" s="358">
        <f t="shared" si="27"/>
        <v>221418.8</v>
      </c>
      <c r="P57" s="358">
        <f t="shared" si="27"/>
        <v>260202.40000000002</v>
      </c>
      <c r="Q57" s="358">
        <f t="shared" si="27"/>
        <v>269162</v>
      </c>
      <c r="R57" s="358">
        <f t="shared" si="27"/>
        <v>273661.59999999998</v>
      </c>
      <c r="S57" s="358">
        <f t="shared" ref="S57:U57" si="28">S53</f>
        <v>353963.78240000008</v>
      </c>
      <c r="T57" s="358">
        <f t="shared" si="28"/>
        <v>363431.91359999997</v>
      </c>
      <c r="U57" s="358">
        <f t="shared" si="28"/>
        <v>371328.04480000003</v>
      </c>
      <c r="V57" s="9"/>
    </row>
    <row r="58" spans="1:22" x14ac:dyDescent="0.3">
      <c r="B58" s="357" t="s">
        <v>174</v>
      </c>
      <c r="C58" s="357"/>
      <c r="D58" s="357"/>
      <c r="E58" s="357"/>
      <c r="F58" s="357"/>
      <c r="G58" s="358">
        <f>G53</f>
        <v>157584</v>
      </c>
      <c r="H58" s="358">
        <f t="shared" ref="H58:R58" si="29">H53</f>
        <v>224466.39999999997</v>
      </c>
      <c r="I58" s="358">
        <f t="shared" si="29"/>
        <v>172949.2</v>
      </c>
      <c r="J58" s="358">
        <f t="shared" si="29"/>
        <v>247672.8</v>
      </c>
      <c r="K58" s="358">
        <f t="shared" si="29"/>
        <v>183624.4</v>
      </c>
      <c r="L58" s="358">
        <f t="shared" si="29"/>
        <v>207224</v>
      </c>
      <c r="M58" s="358">
        <f t="shared" si="29"/>
        <v>193735.59999999998</v>
      </c>
      <c r="N58" s="358">
        <f t="shared" si="29"/>
        <v>212691.20000000001</v>
      </c>
      <c r="O58" s="358">
        <f t="shared" si="29"/>
        <v>221418.8</v>
      </c>
      <c r="P58" s="358">
        <f t="shared" si="29"/>
        <v>260202.40000000002</v>
      </c>
      <c r="Q58" s="358">
        <f t="shared" si="29"/>
        <v>269162</v>
      </c>
      <c r="R58" s="358">
        <f t="shared" si="29"/>
        <v>273661.59999999998</v>
      </c>
      <c r="S58" s="358">
        <f t="shared" ref="S58:U58" si="30">S53</f>
        <v>353963.78240000008</v>
      </c>
      <c r="T58" s="358">
        <f t="shared" si="30"/>
        <v>363431.91359999997</v>
      </c>
      <c r="U58" s="358">
        <f t="shared" si="30"/>
        <v>371328.04480000003</v>
      </c>
      <c r="V58" s="9"/>
    </row>
    <row r="59" spans="1:22" x14ac:dyDescent="0.3">
      <c r="B59" s="357" t="s">
        <v>166</v>
      </c>
      <c r="C59" s="357"/>
      <c r="D59" s="357"/>
      <c r="E59" s="357"/>
      <c r="F59" s="357"/>
      <c r="G59" s="359"/>
      <c r="H59" s="359"/>
      <c r="I59" s="359"/>
      <c r="J59" s="359"/>
      <c r="K59" s="359"/>
      <c r="L59" s="359"/>
      <c r="M59" s="359"/>
      <c r="N59" s="359"/>
      <c r="O59" s="359"/>
      <c r="P59" s="359"/>
      <c r="Q59" s="359"/>
      <c r="R59" s="359"/>
      <c r="S59" s="359"/>
      <c r="T59" s="359"/>
      <c r="U59" s="359"/>
      <c r="V59" s="9"/>
    </row>
    <row r="60" spans="1:22" x14ac:dyDescent="0.3">
      <c r="B60" s="357" t="s">
        <v>168</v>
      </c>
      <c r="C60" s="357"/>
      <c r="D60" s="357"/>
      <c r="E60" s="357"/>
      <c r="F60" s="357"/>
      <c r="G60" s="358">
        <f>G53</f>
        <v>157584</v>
      </c>
      <c r="H60" s="358">
        <f t="shared" ref="H60:R60" si="31">H53</f>
        <v>224466.39999999997</v>
      </c>
      <c r="I60" s="358">
        <f t="shared" si="31"/>
        <v>172949.2</v>
      </c>
      <c r="J60" s="358">
        <f t="shared" si="31"/>
        <v>247672.8</v>
      </c>
      <c r="K60" s="358">
        <f t="shared" si="31"/>
        <v>183624.4</v>
      </c>
      <c r="L60" s="358">
        <f t="shared" si="31"/>
        <v>207224</v>
      </c>
      <c r="M60" s="358">
        <f t="shared" si="31"/>
        <v>193735.59999999998</v>
      </c>
      <c r="N60" s="358">
        <f t="shared" si="31"/>
        <v>212691.20000000001</v>
      </c>
      <c r="O60" s="358">
        <f t="shared" si="31"/>
        <v>221418.8</v>
      </c>
      <c r="P60" s="358">
        <f t="shared" si="31"/>
        <v>260202.40000000002</v>
      </c>
      <c r="Q60" s="358">
        <f t="shared" si="31"/>
        <v>269162</v>
      </c>
      <c r="R60" s="358">
        <f t="shared" si="31"/>
        <v>273661.59999999998</v>
      </c>
      <c r="S60" s="358">
        <f t="shared" ref="S60:U60" si="32">S53</f>
        <v>353963.78240000008</v>
      </c>
      <c r="T60" s="358">
        <f t="shared" si="32"/>
        <v>363431.91359999997</v>
      </c>
      <c r="U60" s="358">
        <f t="shared" si="32"/>
        <v>371328.04480000003</v>
      </c>
      <c r="V60" s="9"/>
    </row>
    <row r="61" spans="1:22" x14ac:dyDescent="0.3">
      <c r="B61" s="357"/>
      <c r="C61" s="357"/>
      <c r="D61" s="357"/>
      <c r="E61" s="357"/>
      <c r="F61" s="357"/>
      <c r="G61" s="357"/>
      <c r="H61" s="357"/>
      <c r="I61" s="357"/>
      <c r="J61" s="357"/>
      <c r="K61" s="357"/>
      <c r="L61" s="357"/>
      <c r="M61" s="357"/>
      <c r="N61" s="357"/>
      <c r="O61" s="357"/>
      <c r="P61" s="357"/>
      <c r="Q61" s="357"/>
      <c r="R61" s="357"/>
      <c r="S61" s="357"/>
      <c r="T61" s="357"/>
      <c r="U61" s="357"/>
    </row>
  </sheetData>
  <phoneticPr fontId="7" type="noConversion"/>
  <pageMargins left="0.7" right="0.7" top="0.75" bottom="0.75" header="0.3" footer="0.3"/>
  <ignoredErrors>
    <ignoredError sqref="R23 G11:M11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94AA-C7A6-43C5-A8DC-7ED6875E5A9D}">
  <sheetPr codeName="Sheet17"/>
  <dimension ref="B2:T15"/>
  <sheetViews>
    <sheetView showGridLines="0" workbookViewId="0">
      <selection activeCell="B15" sqref="B15:T15"/>
    </sheetView>
  </sheetViews>
  <sheetFormatPr defaultRowHeight="14.4" x14ac:dyDescent="0.3"/>
  <cols>
    <col min="4" max="4" width="11.44140625" bestFit="1" customWidth="1"/>
    <col min="5" max="8" width="9" bestFit="1" customWidth="1"/>
  </cols>
  <sheetData>
    <row r="2" spans="2:20" ht="21" x14ac:dyDescent="0.4">
      <c r="B2" s="405" t="s">
        <v>69</v>
      </c>
      <c r="C2" s="405"/>
      <c r="D2" s="405"/>
    </row>
    <row r="5" spans="2:20" ht="18" x14ac:dyDescent="0.35">
      <c r="B5" s="404" t="s">
        <v>212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</row>
    <row r="7" spans="2:20" x14ac:dyDescent="0.3">
      <c r="D7" s="12">
        <v>2024</v>
      </c>
      <c r="E7" s="12">
        <v>2025</v>
      </c>
      <c r="F7" s="12">
        <v>2026</v>
      </c>
      <c r="G7" s="12">
        <v>2027</v>
      </c>
      <c r="H7" s="12">
        <v>2028</v>
      </c>
      <c r="K7" s="12">
        <v>2024</v>
      </c>
      <c r="L7" s="12">
        <v>2025</v>
      </c>
      <c r="M7" s="12">
        <v>2026</v>
      </c>
      <c r="N7" s="12">
        <v>2027</v>
      </c>
      <c r="O7" s="12">
        <v>2028</v>
      </c>
    </row>
    <row r="9" spans="2:20" x14ac:dyDescent="0.3">
      <c r="B9" s="406" t="s">
        <v>226</v>
      </c>
      <c r="C9" s="407"/>
      <c r="D9" s="33">
        <f>ABS('IS 2024'!U44)</f>
        <v>8400</v>
      </c>
      <c r="E9" s="30">
        <f>ABS('IS 2025'!U45)</f>
        <v>8400</v>
      </c>
      <c r="F9" s="30">
        <f>ABS('IS 2026'!U44)</f>
        <v>8400</v>
      </c>
      <c r="G9" s="30">
        <f>ABS('IS 2027'!U43)</f>
        <v>8400</v>
      </c>
      <c r="H9" s="27">
        <f>ABS('IS 2028'!U43)</f>
        <v>8400</v>
      </c>
      <c r="K9" s="34">
        <f>D9/D13</f>
        <v>4.2519589382251109E-2</v>
      </c>
      <c r="L9" s="35">
        <f t="shared" ref="L9:O9" si="0">E9/E13</f>
        <v>4.2519589382251109E-2</v>
      </c>
      <c r="M9" s="35">
        <f t="shared" si="0"/>
        <v>1.2181751735899622E-2</v>
      </c>
      <c r="N9" s="35">
        <f t="shared" si="0"/>
        <v>7.542290701433035E-3</v>
      </c>
      <c r="O9" s="36">
        <f t="shared" si="0"/>
        <v>7.404939094375949E-3</v>
      </c>
    </row>
    <row r="10" spans="2:20" x14ac:dyDescent="0.3">
      <c r="B10" s="408" t="s">
        <v>67</v>
      </c>
      <c r="C10" s="409"/>
      <c r="D10" s="29">
        <f>ABS('IS 2024'!U19)+ABS('IS 2024'!U39)</f>
        <v>162756</v>
      </c>
      <c r="E10" s="26">
        <f>ABS('IS 2025'!U19)+ABS('IS 2025'!U40)</f>
        <v>162756</v>
      </c>
      <c r="F10" s="26">
        <f>ABS('IS 2026'!U19)+ABS('IS 2026'!U39)</f>
        <v>654756</v>
      </c>
      <c r="G10" s="26">
        <f>ABS('IS 2027'!U19)+ABS('IS 2027'!U38)</f>
        <v>920604</v>
      </c>
      <c r="H10" s="28">
        <f>ABS('IS 2028'!U19)+ABS('IS 2028'!U38)</f>
        <v>979604</v>
      </c>
      <c r="K10" s="37">
        <f>D10/D13</f>
        <v>0.82384741541638828</v>
      </c>
      <c r="L10" s="16">
        <f t="shared" ref="L10:O10" si="1">E10/E13</f>
        <v>0.82384741541638828</v>
      </c>
      <c r="M10" s="16">
        <f t="shared" si="1"/>
        <v>0.94953274280841582</v>
      </c>
      <c r="N10" s="16">
        <f t="shared" si="1"/>
        <v>0.82660273677405449</v>
      </c>
      <c r="O10" s="38">
        <f t="shared" si="1"/>
        <v>0.86356047102464961</v>
      </c>
    </row>
    <row r="11" spans="2:20" x14ac:dyDescent="0.3">
      <c r="B11" s="408" t="s">
        <v>130</v>
      </c>
      <c r="C11" s="409"/>
      <c r="D11" s="29">
        <f>ABS('IS 2024'!U46)</f>
        <v>22800</v>
      </c>
      <c r="E11" s="26">
        <f>ABS('IS 2025'!U47)</f>
        <v>22800</v>
      </c>
      <c r="F11" s="26">
        <f>ABS('IS 2026'!U46)</f>
        <v>22800</v>
      </c>
      <c r="G11" s="26">
        <f>ABS('IS 2027'!U45)</f>
        <v>22800</v>
      </c>
      <c r="H11" s="28">
        <f>ABS('IS 2028'!U45)</f>
        <v>22800</v>
      </c>
      <c r="K11" s="37">
        <f>D11/D13</f>
        <v>0.11541031403753872</v>
      </c>
      <c r="L11" s="16">
        <f t="shared" ref="L11:O11" si="2">E11/E13</f>
        <v>0.11541031403753872</v>
      </c>
      <c r="M11" s="16">
        <f t="shared" si="2"/>
        <v>3.3064754711727547E-2</v>
      </c>
      <c r="N11" s="16">
        <f t="shared" si="2"/>
        <v>2.0471931903889667E-2</v>
      </c>
      <c r="O11" s="38">
        <f t="shared" si="2"/>
        <v>2.0099120399020433E-2</v>
      </c>
    </row>
    <row r="12" spans="2:20" x14ac:dyDescent="0.3">
      <c r="B12" s="408" t="s">
        <v>68</v>
      </c>
      <c r="C12" s="409"/>
      <c r="D12" s="29">
        <f>ABS('IS 2024'!U30)</f>
        <v>3600</v>
      </c>
      <c r="E12" s="26">
        <f>ABS('IS 2025'!U31)</f>
        <v>3600</v>
      </c>
      <c r="F12" s="26">
        <f>ABS('IS 2026'!U30)</f>
        <v>3600</v>
      </c>
      <c r="G12" s="26">
        <f>ABS('IS 2027'!U30)</f>
        <v>161916</v>
      </c>
      <c r="H12" s="28">
        <f>ABS('IS 2028'!U32)</f>
        <v>123574</v>
      </c>
      <c r="K12" s="37">
        <f>D12/D13</f>
        <v>1.8222681163821905E-2</v>
      </c>
      <c r="L12" s="16">
        <f t="shared" ref="L12:O12" si="3">E12/E13</f>
        <v>1.8222681163821905E-2</v>
      </c>
      <c r="M12" s="16">
        <f t="shared" si="3"/>
        <v>5.2207507439569808E-3</v>
      </c>
      <c r="N12" s="16">
        <f t="shared" si="3"/>
        <v>0.14538304062062277</v>
      </c>
      <c r="O12" s="38">
        <f t="shared" si="3"/>
        <v>0.10893546948195398</v>
      </c>
    </row>
    <row r="13" spans="2:20" x14ac:dyDescent="0.3">
      <c r="B13" s="410"/>
      <c r="C13" s="411"/>
      <c r="D13" s="225">
        <f>SUM(D9:D12)</f>
        <v>197556</v>
      </c>
      <c r="E13" s="31">
        <f t="shared" ref="E13:H13" si="4">SUM(E9:E12)</f>
        <v>197556</v>
      </c>
      <c r="F13" s="31">
        <f t="shared" si="4"/>
        <v>689556</v>
      </c>
      <c r="G13" s="31">
        <f t="shared" si="4"/>
        <v>1113720</v>
      </c>
      <c r="H13" s="32">
        <f t="shared" si="4"/>
        <v>1134378</v>
      </c>
      <c r="K13" s="39">
        <v>1</v>
      </c>
      <c r="L13" s="40">
        <v>1</v>
      </c>
      <c r="M13" s="40">
        <v>1</v>
      </c>
      <c r="N13" s="40">
        <v>1</v>
      </c>
      <c r="O13" s="41">
        <v>1</v>
      </c>
    </row>
    <row r="15" spans="2:20" ht="18" x14ac:dyDescent="0.35">
      <c r="B15" s="404" t="s">
        <v>212</v>
      </c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/>
      <c r="T15" s="404"/>
    </row>
  </sheetData>
  <mergeCells count="8">
    <mergeCell ref="B15:T15"/>
    <mergeCell ref="B2:D2"/>
    <mergeCell ref="B5:T5"/>
    <mergeCell ref="B9:C9"/>
    <mergeCell ref="B10:C10"/>
    <mergeCell ref="B11:C11"/>
    <mergeCell ref="B12:C12"/>
    <mergeCell ref="B13:C13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9B7F-5C35-48E4-8BB0-61B004BCE33D}">
  <sheetPr codeName="Sheet19"/>
  <dimension ref="C2:Q49"/>
  <sheetViews>
    <sheetView showGridLines="0" tabSelected="1" workbookViewId="0">
      <selection activeCell="G16" sqref="G16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417" t="s">
        <v>75</v>
      </c>
      <c r="D2" s="418"/>
      <c r="E2" s="418"/>
      <c r="F2" s="418"/>
      <c r="G2" s="418"/>
      <c r="H2" s="418"/>
      <c r="I2" s="419"/>
    </row>
    <row r="5" spans="3:17" x14ac:dyDescent="0.3">
      <c r="C5" s="423" t="s">
        <v>213</v>
      </c>
      <c r="D5" s="423"/>
      <c r="E5" s="423"/>
      <c r="F5" s="423"/>
      <c r="G5" s="423"/>
      <c r="H5" s="423"/>
      <c r="I5" s="423"/>
    </row>
    <row r="7" spans="3:17" x14ac:dyDescent="0.3">
      <c r="H7" s="417" t="s">
        <v>77</v>
      </c>
      <c r="I7" s="418"/>
      <c r="J7" s="418"/>
      <c r="K7" s="418"/>
      <c r="L7" s="418"/>
      <c r="M7" s="418"/>
      <c r="N7" s="418"/>
      <c r="O7" s="418"/>
      <c r="P7" s="418"/>
      <c r="Q7" s="419"/>
    </row>
    <row r="8" spans="3:17" x14ac:dyDescent="0.3">
      <c r="C8" s="420" t="s">
        <v>76</v>
      </c>
      <c r="D8" s="421"/>
      <c r="E8" s="421"/>
      <c r="F8" s="422"/>
      <c r="H8" s="412">
        <v>2024</v>
      </c>
      <c r="I8" s="413"/>
      <c r="J8" s="412">
        <v>2025</v>
      </c>
      <c r="K8" s="413"/>
      <c r="L8" s="412">
        <v>2026</v>
      </c>
      <c r="M8" s="413"/>
      <c r="N8" s="412">
        <v>2027</v>
      </c>
      <c r="O8" s="413"/>
      <c r="P8" s="412">
        <v>2028</v>
      </c>
      <c r="Q8" s="427"/>
    </row>
    <row r="9" spans="3:17" x14ac:dyDescent="0.3">
      <c r="C9" s="350" t="s">
        <v>342</v>
      </c>
      <c r="D9" s="351"/>
      <c r="E9" s="351"/>
      <c r="F9" s="352"/>
      <c r="H9" s="229">
        <v>1</v>
      </c>
      <c r="I9" s="230">
        <v>35000</v>
      </c>
      <c r="J9" s="229">
        <v>1</v>
      </c>
      <c r="K9" s="230">
        <v>35000</v>
      </c>
      <c r="L9" s="229">
        <v>1</v>
      </c>
      <c r="M9" s="230">
        <v>35000</v>
      </c>
      <c r="N9" s="229">
        <v>1</v>
      </c>
      <c r="O9" s="231">
        <v>36000</v>
      </c>
      <c r="P9" s="229">
        <v>1</v>
      </c>
      <c r="Q9" s="231">
        <v>37000</v>
      </c>
    </row>
    <row r="10" spans="3:17" x14ac:dyDescent="0.3">
      <c r="C10" s="347" t="s">
        <v>343</v>
      </c>
      <c r="D10" s="348"/>
      <c r="E10" s="348"/>
      <c r="F10" s="349"/>
      <c r="H10" s="232">
        <v>2</v>
      </c>
      <c r="I10" s="233">
        <v>30000</v>
      </c>
      <c r="J10" s="232">
        <v>2</v>
      </c>
      <c r="K10" s="233">
        <v>30000</v>
      </c>
      <c r="L10" s="232">
        <v>3</v>
      </c>
      <c r="M10" s="233">
        <v>30000</v>
      </c>
      <c r="N10" s="232">
        <v>5</v>
      </c>
      <c r="O10" s="234">
        <v>31000</v>
      </c>
      <c r="P10" s="232">
        <v>7</v>
      </c>
      <c r="Q10" s="234">
        <v>32000</v>
      </c>
    </row>
    <row r="11" spans="3:17" x14ac:dyDescent="0.3">
      <c r="C11" s="347" t="s">
        <v>319</v>
      </c>
      <c r="D11" s="348"/>
      <c r="E11" s="348"/>
      <c r="F11" s="349"/>
      <c r="H11" s="232">
        <v>1</v>
      </c>
      <c r="I11" s="233">
        <v>25000</v>
      </c>
      <c r="J11" s="232">
        <v>2</v>
      </c>
      <c r="K11" s="233">
        <v>25000</v>
      </c>
      <c r="L11" s="232">
        <v>2</v>
      </c>
      <c r="M11" s="233">
        <v>25000</v>
      </c>
      <c r="N11" s="232">
        <v>2</v>
      </c>
      <c r="O11" s="234">
        <v>25000</v>
      </c>
      <c r="P11" s="232">
        <v>3</v>
      </c>
      <c r="Q11" s="234">
        <v>27000</v>
      </c>
    </row>
    <row r="12" spans="3:17" x14ac:dyDescent="0.3">
      <c r="C12" s="347" t="s">
        <v>320</v>
      </c>
      <c r="D12" s="348"/>
      <c r="E12" s="348"/>
      <c r="F12" s="349"/>
      <c r="H12" s="232">
        <v>1</v>
      </c>
      <c r="I12" s="233">
        <v>25000</v>
      </c>
      <c r="J12" s="232">
        <v>1</v>
      </c>
      <c r="K12" s="233">
        <v>25000</v>
      </c>
      <c r="L12" s="232">
        <v>2</v>
      </c>
      <c r="M12" s="233">
        <v>25000</v>
      </c>
      <c r="N12" s="232">
        <v>2</v>
      </c>
      <c r="O12" s="234">
        <v>26000</v>
      </c>
      <c r="P12" s="232">
        <v>3</v>
      </c>
      <c r="Q12" s="234">
        <v>27000</v>
      </c>
    </row>
    <row r="13" spans="3:17" x14ac:dyDescent="0.3">
      <c r="C13" s="347" t="s">
        <v>344</v>
      </c>
      <c r="D13" s="348"/>
      <c r="E13" s="348"/>
      <c r="F13" s="349"/>
      <c r="H13" s="232">
        <v>1</v>
      </c>
      <c r="I13" s="233">
        <v>25000</v>
      </c>
      <c r="J13" s="232">
        <v>1</v>
      </c>
      <c r="K13" s="233">
        <v>25000</v>
      </c>
      <c r="L13" s="232">
        <v>2</v>
      </c>
      <c r="M13" s="233">
        <v>25000</v>
      </c>
      <c r="N13" s="232">
        <v>2</v>
      </c>
      <c r="O13" s="234">
        <v>26000</v>
      </c>
      <c r="P13" s="232">
        <v>3</v>
      </c>
      <c r="Q13" s="234">
        <v>27000</v>
      </c>
    </row>
    <row r="14" spans="3:17" x14ac:dyDescent="0.3">
      <c r="C14" s="347" t="s">
        <v>345</v>
      </c>
      <c r="D14" s="348"/>
      <c r="E14" s="348"/>
      <c r="F14" s="349"/>
      <c r="H14" s="232">
        <v>1</v>
      </c>
      <c r="I14" s="233">
        <v>25000</v>
      </c>
      <c r="J14" s="232">
        <v>1</v>
      </c>
      <c r="K14" s="233">
        <v>25000</v>
      </c>
      <c r="L14" s="232">
        <v>2</v>
      </c>
      <c r="M14" s="233">
        <v>25000</v>
      </c>
      <c r="N14" s="232">
        <v>2</v>
      </c>
      <c r="O14" s="234">
        <v>26000</v>
      </c>
      <c r="P14" s="232">
        <v>3</v>
      </c>
      <c r="Q14" s="234">
        <v>27000</v>
      </c>
    </row>
    <row r="15" spans="3:17" x14ac:dyDescent="0.3">
      <c r="C15" s="347"/>
      <c r="D15" s="348"/>
      <c r="E15" s="348"/>
      <c r="F15" s="349"/>
      <c r="H15" s="232"/>
      <c r="I15" s="233"/>
      <c r="J15" s="232"/>
      <c r="K15" s="234"/>
      <c r="L15" s="232"/>
      <c r="M15" s="234"/>
      <c r="N15" s="232"/>
      <c r="O15" s="234"/>
      <c r="P15" s="232"/>
      <c r="Q15" s="234"/>
    </row>
    <row r="16" spans="3:17" x14ac:dyDescent="0.3">
      <c r="C16" s="347"/>
      <c r="D16" s="348"/>
      <c r="E16" s="348"/>
      <c r="F16" s="349"/>
      <c r="H16" s="232"/>
      <c r="I16" s="233"/>
      <c r="J16" s="232"/>
      <c r="K16" s="234"/>
      <c r="L16" s="232"/>
      <c r="M16" s="234"/>
      <c r="N16" s="232"/>
      <c r="O16" s="234"/>
      <c r="P16" s="232"/>
      <c r="Q16" s="234"/>
    </row>
    <row r="17" spans="3:17" x14ac:dyDescent="0.3">
      <c r="C17" s="347"/>
      <c r="D17" s="348"/>
      <c r="E17" s="348"/>
      <c r="F17" s="349"/>
      <c r="H17" s="232"/>
      <c r="I17" s="233"/>
      <c r="J17" s="232"/>
      <c r="K17" s="234"/>
      <c r="L17" s="232"/>
      <c r="M17" s="234"/>
      <c r="N17" s="232"/>
      <c r="O17" s="234"/>
      <c r="P17" s="232"/>
      <c r="Q17" s="234"/>
    </row>
    <row r="18" spans="3:17" x14ac:dyDescent="0.3">
      <c r="C18" s="347"/>
      <c r="D18" s="348"/>
      <c r="E18" s="348"/>
      <c r="F18" s="349"/>
      <c r="H18" s="232"/>
      <c r="I18" s="233"/>
      <c r="J18" s="232"/>
      <c r="K18" s="234"/>
      <c r="L18" s="232"/>
      <c r="M18" s="234"/>
      <c r="N18" s="232"/>
      <c r="O18" s="234"/>
      <c r="P18" s="232"/>
      <c r="Q18" s="234"/>
    </row>
    <row r="19" spans="3:17" x14ac:dyDescent="0.3">
      <c r="C19" s="347"/>
      <c r="D19" s="348"/>
      <c r="E19" s="348"/>
      <c r="F19" s="349"/>
      <c r="H19" s="232"/>
      <c r="I19" s="233"/>
      <c r="J19" s="232"/>
      <c r="K19" s="234"/>
      <c r="L19" s="232"/>
      <c r="M19" s="234"/>
      <c r="N19" s="232"/>
      <c r="O19" s="234"/>
      <c r="P19" s="232"/>
      <c r="Q19" s="234"/>
    </row>
    <row r="20" spans="3:17" x14ac:dyDescent="0.3">
      <c r="C20" s="347"/>
      <c r="D20" s="348"/>
      <c r="E20" s="348"/>
      <c r="F20" s="349"/>
      <c r="H20" s="232"/>
      <c r="I20" s="233"/>
      <c r="J20" s="232"/>
      <c r="K20" s="234"/>
      <c r="L20" s="233"/>
      <c r="M20" s="233"/>
      <c r="N20" s="232"/>
      <c r="O20" s="234"/>
      <c r="P20" s="233"/>
      <c r="Q20" s="234"/>
    </row>
    <row r="21" spans="3:17" x14ac:dyDescent="0.3">
      <c r="C21" s="347"/>
      <c r="D21" s="348"/>
      <c r="E21" s="348"/>
      <c r="F21" s="349"/>
      <c r="H21" s="232"/>
      <c r="I21" s="233"/>
      <c r="J21" s="232"/>
      <c r="K21" s="234"/>
      <c r="L21" s="233"/>
      <c r="M21" s="233"/>
      <c r="N21" s="232"/>
      <c r="O21" s="234"/>
      <c r="P21" s="233"/>
      <c r="Q21" s="234"/>
    </row>
    <row r="22" spans="3:17" x14ac:dyDescent="0.3">
      <c r="C22" s="347"/>
      <c r="D22" s="348"/>
      <c r="E22" s="348"/>
      <c r="F22" s="349"/>
      <c r="H22" s="232"/>
      <c r="I22" s="233"/>
      <c r="J22" s="232"/>
      <c r="K22" s="234"/>
      <c r="L22" s="233"/>
      <c r="M22" s="233"/>
      <c r="N22" s="232"/>
      <c r="O22" s="234"/>
      <c r="P22" s="233"/>
      <c r="Q22" s="234"/>
    </row>
    <row r="23" spans="3:17" x14ac:dyDescent="0.3">
      <c r="C23" s="424"/>
      <c r="D23" s="425"/>
      <c r="E23" s="425"/>
      <c r="F23" s="426"/>
      <c r="H23" s="232"/>
      <c r="I23" s="233"/>
      <c r="J23" s="232"/>
      <c r="K23" s="234"/>
      <c r="L23" s="233"/>
      <c r="M23" s="233"/>
      <c r="N23" s="232"/>
      <c r="O23" s="234"/>
      <c r="P23" s="233"/>
      <c r="Q23" s="234"/>
    </row>
    <row r="24" spans="3:17" x14ac:dyDescent="0.3">
      <c r="C24" s="424"/>
      <c r="D24" s="425"/>
      <c r="E24" s="425"/>
      <c r="F24" s="426"/>
      <c r="H24" s="232"/>
      <c r="I24" s="233"/>
      <c r="J24" s="232"/>
      <c r="K24" s="234"/>
      <c r="L24" s="233"/>
      <c r="M24" s="233"/>
      <c r="N24" s="232"/>
      <c r="O24" s="234"/>
      <c r="P24" s="233"/>
      <c r="Q24" s="234"/>
    </row>
    <row r="25" spans="3:17" x14ac:dyDescent="0.3">
      <c r="C25" s="424"/>
      <c r="D25" s="425"/>
      <c r="E25" s="425"/>
      <c r="F25" s="426"/>
      <c r="H25" s="232"/>
      <c r="I25" s="233"/>
      <c r="J25" s="232"/>
      <c r="K25" s="234"/>
      <c r="L25" s="233"/>
      <c r="M25" s="233"/>
      <c r="N25" s="232"/>
      <c r="O25" s="234"/>
      <c r="P25" s="233"/>
      <c r="Q25" s="234"/>
    </row>
    <row r="26" spans="3:17" x14ac:dyDescent="0.3">
      <c r="C26" s="424"/>
      <c r="D26" s="425"/>
      <c r="E26" s="425"/>
      <c r="F26" s="426"/>
      <c r="H26" s="232"/>
      <c r="I26" s="233"/>
      <c r="J26" s="232"/>
      <c r="K26" s="234"/>
      <c r="L26" s="233"/>
      <c r="M26" s="233"/>
      <c r="N26" s="232"/>
      <c r="O26" s="234"/>
      <c r="P26" s="233"/>
      <c r="Q26" s="234"/>
    </row>
    <row r="27" spans="3:17" x14ac:dyDescent="0.3">
      <c r="C27" s="424"/>
      <c r="D27" s="425"/>
      <c r="E27" s="425"/>
      <c r="F27" s="426"/>
      <c r="H27" s="232"/>
      <c r="I27" s="233"/>
      <c r="J27" s="232"/>
      <c r="K27" s="234"/>
      <c r="L27" s="233"/>
      <c r="M27" s="233"/>
      <c r="N27" s="232"/>
      <c r="O27" s="234"/>
      <c r="P27" s="233"/>
      <c r="Q27" s="234"/>
    </row>
    <row r="28" spans="3:17" x14ac:dyDescent="0.3">
      <c r="C28" s="414"/>
      <c r="D28" s="415"/>
      <c r="E28" s="415"/>
      <c r="F28" s="416"/>
      <c r="H28" s="256"/>
      <c r="I28" s="257"/>
      <c r="J28" s="256"/>
      <c r="K28" s="258"/>
      <c r="L28" s="257"/>
      <c r="M28" s="257"/>
      <c r="N28" s="256"/>
      <c r="O28" s="258"/>
      <c r="P28" s="257"/>
      <c r="Q28" s="258"/>
    </row>
    <row r="29" spans="3:17" x14ac:dyDescent="0.3">
      <c r="C29" s="420" t="s">
        <v>78</v>
      </c>
      <c r="D29" s="421"/>
      <c r="E29" s="421"/>
      <c r="F29" s="422"/>
      <c r="H29" s="412">
        <v>2024</v>
      </c>
      <c r="I29" s="413"/>
      <c r="J29" s="412">
        <v>2025</v>
      </c>
      <c r="K29" s="413"/>
      <c r="L29" s="412">
        <v>2026</v>
      </c>
      <c r="M29" s="413"/>
      <c r="N29" s="412">
        <v>2027</v>
      </c>
      <c r="O29" s="413"/>
      <c r="P29" s="412">
        <v>2028</v>
      </c>
      <c r="Q29" s="427"/>
    </row>
    <row r="30" spans="3:17" x14ac:dyDescent="0.3">
      <c r="C30" s="350" t="str">
        <f>C9</f>
        <v>Senior Consultant</v>
      </c>
      <c r="D30" s="351"/>
      <c r="E30" s="351"/>
      <c r="F30" s="352"/>
      <c r="H30" s="229">
        <f>H9</f>
        <v>1</v>
      </c>
      <c r="I30" s="231">
        <f>SUM(H9*I9)</f>
        <v>35000</v>
      </c>
      <c r="J30" s="229">
        <f>J9</f>
        <v>1</v>
      </c>
      <c r="K30" s="231">
        <f>SUM(J9*K9)</f>
        <v>35000</v>
      </c>
      <c r="L30" s="229">
        <f>L9</f>
        <v>1</v>
      </c>
      <c r="M30" s="231">
        <f>SUM(L9*M9)</f>
        <v>35000</v>
      </c>
      <c r="N30" s="229">
        <f>N9</f>
        <v>1</v>
      </c>
      <c r="O30" s="231">
        <f>SUM(N9*O9)</f>
        <v>36000</v>
      </c>
      <c r="P30" s="229">
        <f>P9</f>
        <v>1</v>
      </c>
      <c r="Q30" s="231">
        <f>SUM(P9*Q9)</f>
        <v>37000</v>
      </c>
    </row>
    <row r="31" spans="3:17" x14ac:dyDescent="0.3">
      <c r="C31" s="347" t="str">
        <f>C10</f>
        <v>Junior Consultant</v>
      </c>
      <c r="D31" s="348"/>
      <c r="E31" s="348"/>
      <c r="F31" s="349"/>
      <c r="H31" s="232">
        <f>H10</f>
        <v>2</v>
      </c>
      <c r="I31" s="234">
        <f>SUM(H10*I10)</f>
        <v>60000</v>
      </c>
      <c r="J31" s="232">
        <f>J10</f>
        <v>2</v>
      </c>
      <c r="K31" s="234">
        <f>SUM(J10*K10)</f>
        <v>60000</v>
      </c>
      <c r="L31" s="232">
        <f>L10</f>
        <v>3</v>
      </c>
      <c r="M31" s="234">
        <f>SUM(L10*M10)</f>
        <v>90000</v>
      </c>
      <c r="N31" s="232">
        <f>N10</f>
        <v>5</v>
      </c>
      <c r="O31" s="234">
        <f>SUM(N10*O10)</f>
        <v>155000</v>
      </c>
      <c r="P31" s="232">
        <f>P10</f>
        <v>7</v>
      </c>
      <c r="Q31" s="234">
        <f>SUM(P10*Q10)</f>
        <v>224000</v>
      </c>
    </row>
    <row r="32" spans="3:17" x14ac:dyDescent="0.3">
      <c r="C32" s="347" t="str">
        <f t="shared" ref="C32:C40" si="0">C11</f>
        <v>Sales Manager</v>
      </c>
      <c r="D32" s="348"/>
      <c r="E32" s="348"/>
      <c r="F32" s="349"/>
      <c r="H32" s="232">
        <f>H11</f>
        <v>1</v>
      </c>
      <c r="I32" s="234">
        <f>SUM(H11*I11)</f>
        <v>25000</v>
      </c>
      <c r="J32" s="232">
        <f>J11</f>
        <v>2</v>
      </c>
      <c r="K32" s="234">
        <f>SUM(J11*K11)</f>
        <v>50000</v>
      </c>
      <c r="L32" s="232">
        <f>L11</f>
        <v>2</v>
      </c>
      <c r="M32" s="234">
        <f>SUM(L11*M11)</f>
        <v>50000</v>
      </c>
      <c r="N32" s="232">
        <f>N11</f>
        <v>2</v>
      </c>
      <c r="O32" s="234">
        <f>SUM(N11*O11)</f>
        <v>50000</v>
      </c>
      <c r="P32" s="232">
        <f>P11</f>
        <v>3</v>
      </c>
      <c r="Q32" s="234">
        <f>SUM(P11*Q11)</f>
        <v>81000</v>
      </c>
    </row>
    <row r="33" spans="3:17" x14ac:dyDescent="0.3">
      <c r="C33" s="347" t="str">
        <f t="shared" si="0"/>
        <v>Plan Checkers</v>
      </c>
      <c r="D33" s="348"/>
      <c r="E33" s="348"/>
      <c r="F33" s="349"/>
      <c r="H33" s="232">
        <f>H12</f>
        <v>1</v>
      </c>
      <c r="I33" s="234">
        <f>SUM(H12*I12)</f>
        <v>25000</v>
      </c>
      <c r="J33" s="232">
        <f>J12</f>
        <v>1</v>
      </c>
      <c r="K33" s="234">
        <f>SUM(J12*K12)</f>
        <v>25000</v>
      </c>
      <c r="L33" s="232">
        <f>L12</f>
        <v>2</v>
      </c>
      <c r="M33" s="234">
        <f>SUM(L12*M12)</f>
        <v>50000</v>
      </c>
      <c r="N33" s="232">
        <f>N12</f>
        <v>2</v>
      </c>
      <c r="O33" s="234">
        <f>SUM(N12*O12)</f>
        <v>52000</v>
      </c>
      <c r="P33" s="232">
        <f>P12</f>
        <v>3</v>
      </c>
      <c r="Q33" s="234">
        <f>SUM(P12*Q12)</f>
        <v>81000</v>
      </c>
    </row>
    <row r="34" spans="3:17" x14ac:dyDescent="0.3">
      <c r="C34" s="347" t="str">
        <f t="shared" si="0"/>
        <v>Logistics Organisers</v>
      </c>
      <c r="D34" s="348"/>
      <c r="E34" s="348"/>
      <c r="F34" s="349"/>
      <c r="G34" s="259"/>
      <c r="H34" s="232">
        <f t="shared" ref="H34:H40" si="1">H13</f>
        <v>1</v>
      </c>
      <c r="I34" s="234">
        <f t="shared" ref="I34:I40" si="2">SUM(H13*I13)</f>
        <v>25000</v>
      </c>
      <c r="J34" s="232">
        <f t="shared" ref="J34:J40" si="3">J13</f>
        <v>1</v>
      </c>
      <c r="K34" s="234">
        <f t="shared" ref="K34:K40" si="4">SUM(J13*K13)</f>
        <v>25000</v>
      </c>
      <c r="L34" s="232">
        <f t="shared" ref="L34:L40" si="5">L13</f>
        <v>2</v>
      </c>
      <c r="M34" s="234">
        <f t="shared" ref="M34:M40" si="6">SUM(L13*M13)</f>
        <v>50000</v>
      </c>
      <c r="N34" s="232">
        <f t="shared" ref="N34:N40" si="7">N13</f>
        <v>2</v>
      </c>
      <c r="O34" s="234">
        <f t="shared" ref="O34:O40" si="8">SUM(N13*O13)</f>
        <v>52000</v>
      </c>
      <c r="P34" s="232">
        <f t="shared" ref="P34:P40" si="9">P13</f>
        <v>3</v>
      </c>
      <c r="Q34" s="234">
        <f t="shared" ref="Q34:Q40" si="10">SUM(P13*Q13)</f>
        <v>81000</v>
      </c>
    </row>
    <row r="35" spans="3:17" x14ac:dyDescent="0.3">
      <c r="C35" s="347" t="str">
        <f t="shared" si="0"/>
        <v>Sales Juniors</v>
      </c>
      <c r="D35" s="348"/>
      <c r="E35" s="348"/>
      <c r="F35" s="349"/>
      <c r="H35" s="232">
        <f t="shared" si="1"/>
        <v>1</v>
      </c>
      <c r="I35" s="234">
        <f t="shared" si="2"/>
        <v>25000</v>
      </c>
      <c r="J35" s="232">
        <f t="shared" si="3"/>
        <v>1</v>
      </c>
      <c r="K35" s="234">
        <f t="shared" si="4"/>
        <v>25000</v>
      </c>
      <c r="L35" s="232">
        <f t="shared" si="5"/>
        <v>2</v>
      </c>
      <c r="M35" s="234">
        <f t="shared" si="6"/>
        <v>50000</v>
      </c>
      <c r="N35" s="232">
        <f t="shared" si="7"/>
        <v>2</v>
      </c>
      <c r="O35" s="234">
        <f t="shared" si="8"/>
        <v>52000</v>
      </c>
      <c r="P35" s="232">
        <f t="shared" si="9"/>
        <v>3</v>
      </c>
      <c r="Q35" s="234">
        <f t="shared" si="10"/>
        <v>81000</v>
      </c>
    </row>
    <row r="36" spans="3:17" x14ac:dyDescent="0.3">
      <c r="C36" s="347">
        <f t="shared" si="0"/>
        <v>0</v>
      </c>
      <c r="D36" s="348"/>
      <c r="E36" s="348"/>
      <c r="F36" s="349"/>
      <c r="H36" s="232">
        <f t="shared" si="1"/>
        <v>0</v>
      </c>
      <c r="I36" s="234">
        <f t="shared" si="2"/>
        <v>0</v>
      </c>
      <c r="J36" s="232">
        <f t="shared" si="3"/>
        <v>0</v>
      </c>
      <c r="K36" s="234">
        <f t="shared" si="4"/>
        <v>0</v>
      </c>
      <c r="L36" s="232">
        <f t="shared" si="5"/>
        <v>0</v>
      </c>
      <c r="M36" s="234">
        <f t="shared" si="6"/>
        <v>0</v>
      </c>
      <c r="N36" s="232">
        <f t="shared" si="7"/>
        <v>0</v>
      </c>
      <c r="O36" s="234">
        <f t="shared" si="8"/>
        <v>0</v>
      </c>
      <c r="P36" s="232">
        <f t="shared" si="9"/>
        <v>0</v>
      </c>
      <c r="Q36" s="234">
        <f t="shared" si="10"/>
        <v>0</v>
      </c>
    </row>
    <row r="37" spans="3:17" x14ac:dyDescent="0.3">
      <c r="C37" s="347">
        <f t="shared" si="0"/>
        <v>0</v>
      </c>
      <c r="D37" s="348"/>
      <c r="E37" s="348"/>
      <c r="F37" s="349"/>
      <c r="H37" s="232">
        <f t="shared" si="1"/>
        <v>0</v>
      </c>
      <c r="I37" s="234">
        <f t="shared" si="2"/>
        <v>0</v>
      </c>
      <c r="J37" s="232">
        <f t="shared" si="3"/>
        <v>0</v>
      </c>
      <c r="K37" s="234">
        <f t="shared" si="4"/>
        <v>0</v>
      </c>
      <c r="L37" s="232">
        <f t="shared" si="5"/>
        <v>0</v>
      </c>
      <c r="M37" s="234">
        <f t="shared" si="6"/>
        <v>0</v>
      </c>
      <c r="N37" s="232">
        <f t="shared" si="7"/>
        <v>0</v>
      </c>
      <c r="O37" s="234">
        <f t="shared" si="8"/>
        <v>0</v>
      </c>
      <c r="P37" s="232">
        <f t="shared" si="9"/>
        <v>0</v>
      </c>
      <c r="Q37" s="234">
        <f t="shared" si="10"/>
        <v>0</v>
      </c>
    </row>
    <row r="38" spans="3:17" x14ac:dyDescent="0.3">
      <c r="C38" s="347">
        <f t="shared" si="0"/>
        <v>0</v>
      </c>
      <c r="D38" s="348"/>
      <c r="E38" s="348"/>
      <c r="F38" s="349"/>
      <c r="H38" s="232">
        <f t="shared" si="1"/>
        <v>0</v>
      </c>
      <c r="I38" s="234">
        <f t="shared" si="2"/>
        <v>0</v>
      </c>
      <c r="J38" s="232">
        <f t="shared" si="3"/>
        <v>0</v>
      </c>
      <c r="K38" s="234">
        <f t="shared" si="4"/>
        <v>0</v>
      </c>
      <c r="L38" s="232">
        <f t="shared" si="5"/>
        <v>0</v>
      </c>
      <c r="M38" s="234">
        <f t="shared" si="6"/>
        <v>0</v>
      </c>
      <c r="N38" s="232">
        <f t="shared" si="7"/>
        <v>0</v>
      </c>
      <c r="O38" s="234">
        <f t="shared" si="8"/>
        <v>0</v>
      </c>
      <c r="P38" s="232">
        <f t="shared" si="9"/>
        <v>0</v>
      </c>
      <c r="Q38" s="234">
        <f t="shared" si="10"/>
        <v>0</v>
      </c>
    </row>
    <row r="39" spans="3:17" x14ac:dyDescent="0.3">
      <c r="C39" s="347">
        <f t="shared" si="0"/>
        <v>0</v>
      </c>
      <c r="D39" s="348"/>
      <c r="E39" s="348"/>
      <c r="F39" s="349"/>
      <c r="H39" s="232">
        <f t="shared" si="1"/>
        <v>0</v>
      </c>
      <c r="I39" s="234">
        <f t="shared" si="2"/>
        <v>0</v>
      </c>
      <c r="J39" s="232">
        <f t="shared" si="3"/>
        <v>0</v>
      </c>
      <c r="K39" s="234">
        <f t="shared" si="4"/>
        <v>0</v>
      </c>
      <c r="L39" s="232">
        <f t="shared" si="5"/>
        <v>0</v>
      </c>
      <c r="M39" s="234">
        <f t="shared" si="6"/>
        <v>0</v>
      </c>
      <c r="N39" s="232">
        <f t="shared" si="7"/>
        <v>0</v>
      </c>
      <c r="O39" s="234">
        <f t="shared" si="8"/>
        <v>0</v>
      </c>
      <c r="P39" s="232">
        <f t="shared" si="9"/>
        <v>0</v>
      </c>
      <c r="Q39" s="234">
        <f t="shared" si="10"/>
        <v>0</v>
      </c>
    </row>
    <row r="40" spans="3:17" x14ac:dyDescent="0.3">
      <c r="C40" s="347">
        <f t="shared" si="0"/>
        <v>0</v>
      </c>
      <c r="D40" s="348"/>
      <c r="E40" s="348"/>
      <c r="F40" s="349"/>
      <c r="H40" s="232">
        <f t="shared" si="1"/>
        <v>0</v>
      </c>
      <c r="I40" s="234">
        <f t="shared" si="2"/>
        <v>0</v>
      </c>
      <c r="J40" s="232">
        <f t="shared" si="3"/>
        <v>0</v>
      </c>
      <c r="K40" s="234">
        <f t="shared" si="4"/>
        <v>0</v>
      </c>
      <c r="L40" s="232">
        <f t="shared" si="5"/>
        <v>0</v>
      </c>
      <c r="M40" s="234">
        <f t="shared" si="6"/>
        <v>0</v>
      </c>
      <c r="N40" s="232">
        <f t="shared" si="7"/>
        <v>0</v>
      </c>
      <c r="O40" s="234">
        <f t="shared" si="8"/>
        <v>0</v>
      </c>
      <c r="P40" s="232">
        <f t="shared" si="9"/>
        <v>0</v>
      </c>
      <c r="Q40" s="234">
        <f t="shared" si="10"/>
        <v>0</v>
      </c>
    </row>
    <row r="41" spans="3:17" x14ac:dyDescent="0.3">
      <c r="C41" s="347"/>
      <c r="D41" s="348"/>
      <c r="E41" s="348"/>
      <c r="F41" s="349"/>
      <c r="H41" s="232"/>
      <c r="I41" s="233"/>
      <c r="J41" s="232"/>
      <c r="K41" s="234"/>
      <c r="L41" s="233"/>
      <c r="M41" s="233"/>
      <c r="N41" s="232"/>
      <c r="O41" s="234"/>
      <c r="P41" s="233"/>
      <c r="Q41" s="234"/>
    </row>
    <row r="42" spans="3:17" x14ac:dyDescent="0.3">
      <c r="C42" s="424"/>
      <c r="D42" s="425"/>
      <c r="E42" s="425"/>
      <c r="F42" s="426"/>
      <c r="H42" s="232"/>
      <c r="I42" s="233"/>
      <c r="J42" s="232"/>
      <c r="K42" s="234"/>
      <c r="L42" s="233"/>
      <c r="M42" s="233"/>
      <c r="N42" s="232"/>
      <c r="O42" s="234"/>
      <c r="P42" s="233"/>
      <c r="Q42" s="234"/>
    </row>
    <row r="43" spans="3:17" x14ac:dyDescent="0.3">
      <c r="C43" s="424"/>
      <c r="D43" s="425"/>
      <c r="E43" s="425"/>
      <c r="F43" s="426"/>
      <c r="H43" s="232"/>
      <c r="I43" s="233"/>
      <c r="J43" s="232"/>
      <c r="K43" s="234"/>
      <c r="L43" s="233"/>
      <c r="M43" s="233"/>
      <c r="N43" s="232"/>
      <c r="O43" s="234"/>
      <c r="P43" s="233"/>
      <c r="Q43" s="234"/>
    </row>
    <row r="44" spans="3:17" x14ac:dyDescent="0.3">
      <c r="C44" s="424"/>
      <c r="D44" s="425"/>
      <c r="E44" s="425"/>
      <c r="F44" s="426"/>
      <c r="H44" s="232"/>
      <c r="I44" s="233"/>
      <c r="J44" s="232"/>
      <c r="K44" s="234"/>
      <c r="L44" s="233"/>
      <c r="M44" s="233"/>
      <c r="N44" s="232"/>
      <c r="O44" s="234"/>
      <c r="P44" s="233"/>
      <c r="Q44" s="234"/>
    </row>
    <row r="45" spans="3:17" x14ac:dyDescent="0.3">
      <c r="C45" s="424"/>
      <c r="D45" s="425"/>
      <c r="E45" s="425"/>
      <c r="F45" s="426"/>
      <c r="H45" s="232"/>
      <c r="I45" s="233"/>
      <c r="J45" s="232"/>
      <c r="K45" s="234"/>
      <c r="L45" s="233"/>
      <c r="M45" s="233"/>
      <c r="N45" s="232"/>
      <c r="O45" s="234"/>
      <c r="P45" s="233"/>
      <c r="Q45" s="234"/>
    </row>
    <row r="46" spans="3:17" x14ac:dyDescent="0.3">
      <c r="C46" s="424"/>
      <c r="D46" s="425"/>
      <c r="E46" s="425"/>
      <c r="F46" s="426"/>
      <c r="H46" s="232"/>
      <c r="I46" s="233"/>
      <c r="J46" s="232"/>
      <c r="K46" s="234"/>
      <c r="L46" s="233"/>
      <c r="M46" s="233"/>
      <c r="N46" s="232"/>
      <c r="O46" s="234"/>
      <c r="P46" s="233"/>
      <c r="Q46" s="234"/>
    </row>
    <row r="47" spans="3:17" x14ac:dyDescent="0.3">
      <c r="C47" s="424"/>
      <c r="D47" s="425"/>
      <c r="E47" s="425"/>
      <c r="F47" s="426"/>
      <c r="H47" s="232"/>
      <c r="I47" s="233"/>
      <c r="J47" s="232"/>
      <c r="K47" s="234"/>
      <c r="L47" s="233"/>
      <c r="M47" s="233"/>
      <c r="N47" s="232"/>
      <c r="O47" s="234"/>
      <c r="P47" s="233"/>
      <c r="Q47" s="234"/>
    </row>
    <row r="48" spans="3:17" x14ac:dyDescent="0.3">
      <c r="C48" s="424"/>
      <c r="D48" s="425"/>
      <c r="E48" s="425"/>
      <c r="F48" s="426"/>
      <c r="H48" s="232"/>
      <c r="I48" s="233"/>
      <c r="J48" s="232"/>
      <c r="K48" s="234"/>
      <c r="L48" s="233"/>
      <c r="M48" s="233"/>
      <c r="N48" s="232"/>
      <c r="O48" s="234"/>
      <c r="P48" s="233"/>
      <c r="Q48" s="234"/>
    </row>
    <row r="49" spans="3:17" x14ac:dyDescent="0.3">
      <c r="C49" s="414"/>
      <c r="D49" s="415"/>
      <c r="E49" s="415"/>
      <c r="F49" s="416"/>
      <c r="H49" s="232"/>
      <c r="I49" s="233"/>
      <c r="J49" s="232"/>
      <c r="K49" s="234"/>
      <c r="L49" s="233"/>
      <c r="M49" s="233"/>
      <c r="N49" s="232"/>
      <c r="O49" s="234"/>
      <c r="P49" s="233"/>
      <c r="Q49" s="234"/>
    </row>
  </sheetData>
  <mergeCells count="29">
    <mergeCell ref="L29:M29"/>
    <mergeCell ref="N29:O29"/>
    <mergeCell ref="P29:Q29"/>
    <mergeCell ref="C48:F48"/>
    <mergeCell ref="C42:F42"/>
    <mergeCell ref="C43:F43"/>
    <mergeCell ref="H29:I29"/>
    <mergeCell ref="J29:K29"/>
    <mergeCell ref="C8:F8"/>
    <mergeCell ref="C46:F46"/>
    <mergeCell ref="C44:F44"/>
    <mergeCell ref="C45:F45"/>
    <mergeCell ref="C47:F47"/>
    <mergeCell ref="N8:O8"/>
    <mergeCell ref="L8:M8"/>
    <mergeCell ref="J8:K8"/>
    <mergeCell ref="C49:F49"/>
    <mergeCell ref="C2:I2"/>
    <mergeCell ref="C29:F29"/>
    <mergeCell ref="C5:I5"/>
    <mergeCell ref="C24:F24"/>
    <mergeCell ref="C25:F25"/>
    <mergeCell ref="C26:F26"/>
    <mergeCell ref="C27:F27"/>
    <mergeCell ref="C28:F28"/>
    <mergeCell ref="H7:Q7"/>
    <mergeCell ref="P8:Q8"/>
    <mergeCell ref="C23:F23"/>
    <mergeCell ref="H8:I8"/>
  </mergeCells>
  <phoneticPr fontId="7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808-8A50-40B6-9620-FEAE4C53CF38}">
  <sheetPr codeName="Sheet39"/>
  <dimension ref="C2:Q46"/>
  <sheetViews>
    <sheetView showGridLines="0" workbookViewId="0">
      <selection activeCell="H7" sqref="H7:Q7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417" t="s">
        <v>222</v>
      </c>
      <c r="D2" s="418"/>
      <c r="E2" s="418"/>
      <c r="F2" s="418"/>
      <c r="G2" s="418"/>
      <c r="H2" s="418"/>
      <c r="I2" s="419"/>
    </row>
    <row r="6" spans="3:17" x14ac:dyDescent="0.3">
      <c r="H6" s="387" t="s">
        <v>313</v>
      </c>
      <c r="I6" s="387"/>
      <c r="J6" s="387"/>
      <c r="K6" s="387"/>
      <c r="L6" s="387"/>
      <c r="M6" s="387"/>
      <c r="N6" s="387"/>
      <c r="O6" s="387"/>
      <c r="P6" s="387"/>
      <c r="Q6" s="387"/>
    </row>
    <row r="7" spans="3:17" x14ac:dyDescent="0.3">
      <c r="H7" s="412">
        <v>2024</v>
      </c>
      <c r="I7" s="413"/>
      <c r="J7" s="412">
        <v>2025</v>
      </c>
      <c r="K7" s="413"/>
      <c r="L7" s="412">
        <v>2026</v>
      </c>
      <c r="M7" s="413"/>
      <c r="N7" s="412">
        <v>2027</v>
      </c>
      <c r="O7" s="413"/>
      <c r="P7" s="412">
        <v>2028</v>
      </c>
      <c r="Q7" s="427"/>
    </row>
    <row r="8" spans="3:17" x14ac:dyDescent="0.3">
      <c r="C8" s="428" t="s">
        <v>261</v>
      </c>
      <c r="D8" s="429"/>
      <c r="E8" s="429"/>
      <c r="F8" s="252"/>
      <c r="H8" s="430"/>
      <c r="I8" s="430"/>
      <c r="J8" s="430">
        <f>(J24-H24)/J24</f>
        <v>0.1111111111111111</v>
      </c>
      <c r="K8" s="430"/>
      <c r="L8" s="430">
        <f t="shared" ref="L8" si="0">(L24-J24)/L24</f>
        <v>4.2553191489361701E-2</v>
      </c>
      <c r="M8" s="430"/>
      <c r="N8" s="430">
        <f t="shared" ref="N8" si="1">(N24-L24)/N24</f>
        <v>2.0833333333333332E-2</v>
      </c>
      <c r="O8" s="430"/>
      <c r="P8" s="430">
        <f t="shared" ref="P8" si="2">(P24-N24)/P24</f>
        <v>0.04</v>
      </c>
      <c r="Q8" s="430"/>
    </row>
    <row r="9" spans="3:17" x14ac:dyDescent="0.3">
      <c r="C9" s="424" t="s">
        <v>262</v>
      </c>
      <c r="D9" s="425"/>
      <c r="E9" s="425"/>
      <c r="F9" s="253"/>
      <c r="H9" s="430"/>
      <c r="I9" s="430"/>
      <c r="J9" s="430">
        <f t="shared" ref="J9:J13" si="3">(J25-H25)/J25</f>
        <v>0.1111111111111111</v>
      </c>
      <c r="K9" s="430"/>
      <c r="L9" s="430">
        <f t="shared" ref="L9:L13" si="4">(L25-J25)/L25</f>
        <v>4.2553191489361701E-2</v>
      </c>
      <c r="M9" s="430"/>
      <c r="N9" s="430">
        <f t="shared" ref="N9:N13" si="5">(N25-L25)/N25</f>
        <v>2.0833333333333332E-2</v>
      </c>
      <c r="O9" s="430"/>
      <c r="P9" s="430">
        <f t="shared" ref="P9:P13" si="6">(P25-N25)/P25</f>
        <v>7.6923076923076927E-2</v>
      </c>
      <c r="Q9" s="430"/>
    </row>
    <row r="10" spans="3:17" x14ac:dyDescent="0.3">
      <c r="C10" s="424" t="s">
        <v>263</v>
      </c>
      <c r="D10" s="425"/>
      <c r="E10" s="425"/>
      <c r="F10" s="253"/>
      <c r="H10" s="430"/>
      <c r="I10" s="430"/>
      <c r="J10" s="430">
        <f t="shared" si="3"/>
        <v>3.8095238095238099E-2</v>
      </c>
      <c r="K10" s="430"/>
      <c r="L10" s="430">
        <f t="shared" si="4"/>
        <v>0.11016949152542373</v>
      </c>
      <c r="M10" s="430"/>
      <c r="N10" s="430">
        <f t="shared" si="5"/>
        <v>2.0746887966804978E-2</v>
      </c>
      <c r="O10" s="430"/>
      <c r="P10" s="430">
        <f t="shared" si="6"/>
        <v>7.662835249042145E-2</v>
      </c>
      <c r="Q10" s="430"/>
    </row>
    <row r="11" spans="3:17" x14ac:dyDescent="0.3">
      <c r="C11" s="424" t="s">
        <v>264</v>
      </c>
      <c r="D11" s="425"/>
      <c r="E11" s="425"/>
      <c r="F11" s="253"/>
      <c r="H11" s="430"/>
      <c r="I11" s="430"/>
      <c r="J11" s="430">
        <f t="shared" si="3"/>
        <v>3.3333333333333333E-2</v>
      </c>
      <c r="K11" s="430"/>
      <c r="L11" s="430">
        <f t="shared" si="4"/>
        <v>0.11392405063291139</v>
      </c>
      <c r="M11" s="430"/>
      <c r="N11" s="430">
        <f t="shared" si="5"/>
        <v>2.0661157024793389E-2</v>
      </c>
      <c r="O11" s="430"/>
      <c r="P11" s="430">
        <f t="shared" si="6"/>
        <v>7.6335877862595422E-2</v>
      </c>
      <c r="Q11" s="430"/>
    </row>
    <row r="12" spans="3:17" x14ac:dyDescent="0.3">
      <c r="C12" s="424" t="s">
        <v>265</v>
      </c>
      <c r="D12" s="425"/>
      <c r="E12" s="425"/>
      <c r="F12" s="253"/>
      <c r="H12" s="430"/>
      <c r="I12" s="430"/>
      <c r="J12" s="430">
        <f t="shared" si="3"/>
        <v>2.8571428571428571E-2</v>
      </c>
      <c r="K12" s="430"/>
      <c r="L12" s="430">
        <f t="shared" si="4"/>
        <v>0.11764705882352941</v>
      </c>
      <c r="M12" s="430"/>
      <c r="N12" s="430">
        <f t="shared" si="5"/>
        <v>2.0576131687242798E-2</v>
      </c>
      <c r="O12" s="430"/>
      <c r="P12" s="430">
        <f t="shared" si="6"/>
        <v>7.6045627376425853E-2</v>
      </c>
      <c r="Q12" s="430"/>
    </row>
    <row r="13" spans="3:17" x14ac:dyDescent="0.3">
      <c r="C13" s="414" t="s">
        <v>266</v>
      </c>
      <c r="D13" s="415"/>
      <c r="E13" s="415"/>
      <c r="F13" s="254"/>
      <c r="H13" s="430"/>
      <c r="I13" s="430"/>
      <c r="J13" s="430">
        <f t="shared" si="3"/>
        <v>2.3809523809523808E-2</v>
      </c>
      <c r="K13" s="430"/>
      <c r="L13" s="430">
        <f t="shared" si="4"/>
        <v>0.12133891213389121</v>
      </c>
      <c r="M13" s="430"/>
      <c r="N13" s="430">
        <f t="shared" si="5"/>
        <v>2.0491803278688523E-2</v>
      </c>
      <c r="O13" s="430"/>
      <c r="P13" s="430">
        <f t="shared" si="6"/>
        <v>7.575757575757576E-2</v>
      </c>
      <c r="Q13" s="430"/>
    </row>
    <row r="15" spans="3:17" x14ac:dyDescent="0.3">
      <c r="H15" s="431" t="s">
        <v>219</v>
      </c>
      <c r="I15" s="431"/>
      <c r="J15" s="431"/>
      <c r="K15" s="431"/>
      <c r="L15" s="431"/>
      <c r="M15" s="431"/>
      <c r="N15" s="431"/>
      <c r="O15" s="431"/>
      <c r="P15" s="431"/>
      <c r="Q15" s="431"/>
    </row>
    <row r="16" spans="3:17" x14ac:dyDescent="0.3">
      <c r="C16" s="428" t="s">
        <v>261</v>
      </c>
      <c r="D16" s="429"/>
      <c r="E16" s="429"/>
      <c r="F16" s="252"/>
      <c r="H16" s="432">
        <v>5</v>
      </c>
      <c r="I16" s="432"/>
      <c r="J16" s="432">
        <v>9</v>
      </c>
      <c r="K16" s="432"/>
      <c r="L16" s="432">
        <v>10</v>
      </c>
      <c r="M16" s="432"/>
      <c r="N16" s="432">
        <v>12</v>
      </c>
      <c r="O16" s="432"/>
      <c r="P16" s="432">
        <v>15</v>
      </c>
      <c r="Q16" s="432"/>
    </row>
    <row r="17" spans="3:17" x14ac:dyDescent="0.3">
      <c r="C17" s="424" t="s">
        <v>262</v>
      </c>
      <c r="D17" s="425"/>
      <c r="E17" s="425"/>
      <c r="F17" s="253"/>
      <c r="H17" s="432">
        <v>6</v>
      </c>
      <c r="I17" s="432"/>
      <c r="J17" s="432">
        <v>9</v>
      </c>
      <c r="K17" s="432"/>
      <c r="L17" s="432">
        <v>12</v>
      </c>
      <c r="M17" s="432"/>
      <c r="N17" s="432">
        <v>12</v>
      </c>
      <c r="O17" s="432"/>
      <c r="P17" s="432">
        <v>16</v>
      </c>
      <c r="Q17" s="432"/>
    </row>
    <row r="18" spans="3:17" x14ac:dyDescent="0.3">
      <c r="C18" s="424" t="s">
        <v>263</v>
      </c>
      <c r="D18" s="425"/>
      <c r="E18" s="425"/>
      <c r="F18" s="253"/>
      <c r="H18" s="432">
        <v>5</v>
      </c>
      <c r="I18" s="432"/>
      <c r="J18" s="432">
        <v>9</v>
      </c>
      <c r="K18" s="432"/>
      <c r="L18" s="432">
        <v>12</v>
      </c>
      <c r="M18" s="432"/>
      <c r="N18" s="432">
        <v>12</v>
      </c>
      <c r="O18" s="432"/>
      <c r="P18" s="432">
        <v>17</v>
      </c>
      <c r="Q18" s="432"/>
    </row>
    <row r="19" spans="3:17" x14ac:dyDescent="0.3">
      <c r="C19" s="424" t="s">
        <v>264</v>
      </c>
      <c r="D19" s="425"/>
      <c r="E19" s="425"/>
      <c r="F19" s="253"/>
      <c r="H19" s="432">
        <v>5</v>
      </c>
      <c r="I19" s="432"/>
      <c r="J19" s="432">
        <v>9</v>
      </c>
      <c r="K19" s="432"/>
      <c r="L19" s="432">
        <v>12</v>
      </c>
      <c r="M19" s="432"/>
      <c r="N19" s="432">
        <v>15</v>
      </c>
      <c r="O19" s="432"/>
      <c r="P19" s="432">
        <v>15</v>
      </c>
      <c r="Q19" s="432"/>
    </row>
    <row r="20" spans="3:17" x14ac:dyDescent="0.3">
      <c r="C20" s="424" t="s">
        <v>265</v>
      </c>
      <c r="D20" s="425"/>
      <c r="E20" s="425"/>
      <c r="F20" s="253"/>
      <c r="H20" s="432">
        <v>7</v>
      </c>
      <c r="I20" s="432"/>
      <c r="J20" s="432">
        <v>9</v>
      </c>
      <c r="K20" s="432"/>
      <c r="L20" s="432">
        <v>12</v>
      </c>
      <c r="M20" s="432"/>
      <c r="N20" s="432">
        <v>15</v>
      </c>
      <c r="O20" s="432"/>
      <c r="P20" s="432">
        <v>15</v>
      </c>
      <c r="Q20" s="432"/>
    </row>
    <row r="21" spans="3:17" x14ac:dyDescent="0.3">
      <c r="C21" s="414" t="s">
        <v>266</v>
      </c>
      <c r="D21" s="415"/>
      <c r="E21" s="415"/>
      <c r="F21" s="254"/>
      <c r="H21" s="432">
        <v>4</v>
      </c>
      <c r="I21" s="432"/>
      <c r="J21" s="432">
        <v>9</v>
      </c>
      <c r="K21" s="432"/>
      <c r="L21" s="432">
        <v>12</v>
      </c>
      <c r="M21" s="432"/>
      <c r="N21" s="432">
        <v>15</v>
      </c>
      <c r="O21" s="432"/>
      <c r="P21" s="432">
        <v>19</v>
      </c>
      <c r="Q21" s="432"/>
    </row>
    <row r="23" spans="3:17" x14ac:dyDescent="0.3">
      <c r="H23" s="431" t="s">
        <v>220</v>
      </c>
      <c r="I23" s="431"/>
      <c r="J23" s="431"/>
      <c r="K23" s="431"/>
      <c r="L23" s="431"/>
      <c r="M23" s="431"/>
      <c r="N23" s="431"/>
      <c r="O23" s="431"/>
      <c r="P23" s="431"/>
      <c r="Q23" s="431"/>
    </row>
    <row r="24" spans="3:17" x14ac:dyDescent="0.3">
      <c r="C24" s="428" t="s">
        <v>261</v>
      </c>
      <c r="D24" s="429"/>
      <c r="E24" s="429"/>
      <c r="F24" s="252"/>
      <c r="H24" s="432">
        <v>200</v>
      </c>
      <c r="I24" s="432"/>
      <c r="J24" s="432">
        <v>225</v>
      </c>
      <c r="K24" s="432"/>
      <c r="L24" s="432">
        <v>235</v>
      </c>
      <c r="M24" s="432"/>
      <c r="N24" s="432">
        <v>240</v>
      </c>
      <c r="O24" s="432"/>
      <c r="P24" s="432">
        <v>250</v>
      </c>
      <c r="Q24" s="432"/>
    </row>
    <row r="25" spans="3:17" x14ac:dyDescent="0.3">
      <c r="C25" s="424" t="s">
        <v>262</v>
      </c>
      <c r="D25" s="425"/>
      <c r="E25" s="425"/>
      <c r="F25" s="253"/>
      <c r="H25" s="432">
        <v>200</v>
      </c>
      <c r="I25" s="432"/>
      <c r="J25" s="432">
        <v>225</v>
      </c>
      <c r="K25" s="432"/>
      <c r="L25" s="432">
        <v>235</v>
      </c>
      <c r="M25" s="432"/>
      <c r="N25" s="432">
        <v>240</v>
      </c>
      <c r="O25" s="432"/>
      <c r="P25" s="432">
        <v>260</v>
      </c>
      <c r="Q25" s="432"/>
    </row>
    <row r="26" spans="3:17" x14ac:dyDescent="0.3">
      <c r="C26" s="424" t="s">
        <v>263</v>
      </c>
      <c r="D26" s="425"/>
      <c r="E26" s="425"/>
      <c r="F26" s="253"/>
      <c r="H26" s="432">
        <v>202</v>
      </c>
      <c r="I26" s="432"/>
      <c r="J26" s="432">
        <v>210</v>
      </c>
      <c r="K26" s="432"/>
      <c r="L26" s="432">
        <v>236</v>
      </c>
      <c r="M26" s="432"/>
      <c r="N26" s="432">
        <v>241</v>
      </c>
      <c r="O26" s="432"/>
      <c r="P26" s="432">
        <v>261</v>
      </c>
      <c r="Q26" s="432"/>
    </row>
    <row r="27" spans="3:17" x14ac:dyDescent="0.3">
      <c r="C27" s="424" t="s">
        <v>264</v>
      </c>
      <c r="D27" s="425"/>
      <c r="E27" s="425"/>
      <c r="F27" s="253"/>
      <c r="H27" s="432">
        <v>203</v>
      </c>
      <c r="I27" s="432"/>
      <c r="J27" s="432">
        <v>210</v>
      </c>
      <c r="K27" s="432"/>
      <c r="L27" s="432">
        <v>237</v>
      </c>
      <c r="M27" s="432"/>
      <c r="N27" s="432">
        <v>242</v>
      </c>
      <c r="O27" s="432"/>
      <c r="P27" s="432">
        <v>262</v>
      </c>
      <c r="Q27" s="432"/>
    </row>
    <row r="28" spans="3:17" x14ac:dyDescent="0.3">
      <c r="C28" s="424" t="s">
        <v>265</v>
      </c>
      <c r="D28" s="425"/>
      <c r="E28" s="425"/>
      <c r="F28" s="253"/>
      <c r="H28" s="432">
        <v>204</v>
      </c>
      <c r="I28" s="432"/>
      <c r="J28" s="432">
        <v>210</v>
      </c>
      <c r="K28" s="432"/>
      <c r="L28" s="432">
        <v>238</v>
      </c>
      <c r="M28" s="432"/>
      <c r="N28" s="432">
        <v>243</v>
      </c>
      <c r="O28" s="432"/>
      <c r="P28" s="432">
        <v>263</v>
      </c>
      <c r="Q28" s="432"/>
    </row>
    <row r="29" spans="3:17" x14ac:dyDescent="0.3">
      <c r="C29" s="414" t="s">
        <v>266</v>
      </c>
      <c r="D29" s="415"/>
      <c r="E29" s="415"/>
      <c r="F29" s="254"/>
      <c r="H29" s="432">
        <v>205</v>
      </c>
      <c r="I29" s="432"/>
      <c r="J29" s="432">
        <v>210</v>
      </c>
      <c r="K29" s="432"/>
      <c r="L29" s="432">
        <v>239</v>
      </c>
      <c r="M29" s="432"/>
      <c r="N29" s="432">
        <v>244</v>
      </c>
      <c r="O29" s="432"/>
      <c r="P29" s="432">
        <v>264</v>
      </c>
      <c r="Q29" s="432"/>
    </row>
    <row r="31" spans="3:17" x14ac:dyDescent="0.3">
      <c r="H31" s="431" t="s">
        <v>221</v>
      </c>
      <c r="I31" s="431"/>
      <c r="J31" s="431"/>
      <c r="K31" s="431"/>
      <c r="L31" s="431"/>
      <c r="M31" s="431"/>
      <c r="N31" s="431"/>
      <c r="O31" s="431"/>
      <c r="P31" s="431"/>
      <c r="Q31" s="431"/>
    </row>
    <row r="32" spans="3:17" x14ac:dyDescent="0.3">
      <c r="C32" s="428" t="s">
        <v>261</v>
      </c>
      <c r="D32" s="429"/>
      <c r="E32" s="429"/>
      <c r="F32" s="252"/>
      <c r="H32" s="432">
        <v>345</v>
      </c>
      <c r="I32" s="432"/>
      <c r="J32" s="432">
        <v>355</v>
      </c>
      <c r="K32" s="432"/>
      <c r="L32" s="432">
        <v>360</v>
      </c>
      <c r="M32" s="432"/>
      <c r="N32" s="432">
        <v>370</v>
      </c>
      <c r="O32" s="432"/>
      <c r="P32" s="432">
        <v>400</v>
      </c>
      <c r="Q32" s="432"/>
    </row>
    <row r="33" spans="3:17" x14ac:dyDescent="0.3">
      <c r="C33" s="424" t="s">
        <v>262</v>
      </c>
      <c r="D33" s="425"/>
      <c r="E33" s="425"/>
      <c r="F33" s="253"/>
      <c r="H33" s="432">
        <v>300</v>
      </c>
      <c r="I33" s="432"/>
      <c r="J33" s="432">
        <v>300</v>
      </c>
      <c r="K33" s="432"/>
      <c r="L33" s="432">
        <v>310</v>
      </c>
      <c r="M33" s="432"/>
      <c r="N33" s="432">
        <v>340</v>
      </c>
      <c r="O33" s="432"/>
      <c r="P33" s="432">
        <v>400</v>
      </c>
      <c r="Q33" s="432"/>
    </row>
    <row r="34" spans="3:17" x14ac:dyDescent="0.3">
      <c r="C34" s="424" t="s">
        <v>263</v>
      </c>
      <c r="D34" s="425"/>
      <c r="E34" s="425"/>
      <c r="F34" s="253"/>
      <c r="H34" s="432">
        <v>280</v>
      </c>
      <c r="I34" s="432"/>
      <c r="J34" s="432">
        <v>281</v>
      </c>
      <c r="K34" s="432"/>
      <c r="L34" s="432">
        <v>282</v>
      </c>
      <c r="M34" s="432"/>
      <c r="N34" s="432">
        <v>290</v>
      </c>
      <c r="O34" s="432"/>
      <c r="P34" s="432">
        <v>320</v>
      </c>
      <c r="Q34" s="432"/>
    </row>
    <row r="35" spans="3:17" x14ac:dyDescent="0.3">
      <c r="C35" s="424" t="s">
        <v>264</v>
      </c>
      <c r="D35" s="425"/>
      <c r="E35" s="425"/>
      <c r="F35" s="253"/>
      <c r="H35" s="432">
        <v>350</v>
      </c>
      <c r="I35" s="432"/>
      <c r="J35" s="432">
        <v>350</v>
      </c>
      <c r="K35" s="432"/>
      <c r="L35" s="432">
        <v>360</v>
      </c>
      <c r="M35" s="432"/>
      <c r="N35" s="432">
        <v>370</v>
      </c>
      <c r="O35" s="432"/>
      <c r="P35" s="432">
        <v>400</v>
      </c>
      <c r="Q35" s="432"/>
    </row>
    <row r="36" spans="3:17" x14ac:dyDescent="0.3">
      <c r="C36" s="424" t="s">
        <v>265</v>
      </c>
      <c r="D36" s="425"/>
      <c r="E36" s="425"/>
      <c r="F36" s="253"/>
      <c r="H36" s="432">
        <v>345</v>
      </c>
      <c r="I36" s="432"/>
      <c r="J36" s="432">
        <v>355</v>
      </c>
      <c r="K36" s="432"/>
      <c r="L36" s="432">
        <v>360</v>
      </c>
      <c r="M36" s="432"/>
      <c r="N36" s="432">
        <v>370</v>
      </c>
      <c r="O36" s="432"/>
      <c r="P36" s="432">
        <v>400</v>
      </c>
      <c r="Q36" s="432"/>
    </row>
    <row r="37" spans="3:17" x14ac:dyDescent="0.3">
      <c r="C37" s="414" t="s">
        <v>266</v>
      </c>
      <c r="D37" s="415"/>
      <c r="E37" s="415"/>
      <c r="F37" s="254"/>
      <c r="H37" s="432">
        <v>345</v>
      </c>
      <c r="I37" s="432"/>
      <c r="J37" s="432">
        <v>355</v>
      </c>
      <c r="K37" s="432"/>
      <c r="L37" s="432">
        <v>360</v>
      </c>
      <c r="M37" s="432"/>
      <c r="N37" s="432">
        <v>370</v>
      </c>
      <c r="O37" s="432"/>
      <c r="P37" s="432">
        <v>400</v>
      </c>
      <c r="Q37" s="432"/>
    </row>
    <row r="38" spans="3:17" x14ac:dyDescent="0.3">
      <c r="H38" s="387" t="s">
        <v>78</v>
      </c>
      <c r="I38" s="387"/>
      <c r="J38" s="387"/>
      <c r="K38" s="387"/>
      <c r="L38" s="387"/>
      <c r="M38" s="387"/>
      <c r="N38" s="387"/>
      <c r="O38" s="387"/>
      <c r="P38" s="387"/>
      <c r="Q38" s="387"/>
    </row>
    <row r="39" spans="3:17" x14ac:dyDescent="0.3">
      <c r="H39" s="433">
        <v>2023</v>
      </c>
      <c r="I39" s="433"/>
      <c r="J39" s="433">
        <v>2024</v>
      </c>
      <c r="K39" s="433"/>
      <c r="L39" s="433">
        <v>2025</v>
      </c>
      <c r="M39" s="433"/>
      <c r="N39" s="433">
        <v>2026</v>
      </c>
      <c r="O39" s="433"/>
      <c r="P39" s="433">
        <v>2027</v>
      </c>
      <c r="Q39" s="433"/>
    </row>
    <row r="40" spans="3:17" x14ac:dyDescent="0.3">
      <c r="C40" s="428" t="s">
        <v>261</v>
      </c>
      <c r="D40" s="429"/>
      <c r="E40" s="429"/>
      <c r="F40" s="252"/>
      <c r="H40" s="434">
        <f>(H16*H24*H32)</f>
        <v>345000</v>
      </c>
      <c r="I40" s="434"/>
      <c r="J40" s="434">
        <f t="shared" ref="J40" si="7">(J16*J24*J32)</f>
        <v>718875</v>
      </c>
      <c r="K40" s="434"/>
      <c r="L40" s="434">
        <f t="shared" ref="L40" si="8">(L16*L24*L32)</f>
        <v>846000</v>
      </c>
      <c r="M40" s="434"/>
      <c r="N40" s="434">
        <f t="shared" ref="N40" si="9">(N16*N24*N32)</f>
        <v>1065600</v>
      </c>
      <c r="O40" s="434"/>
      <c r="P40" s="434">
        <f t="shared" ref="P40" si="10">(P16*P24*P32)</f>
        <v>1500000</v>
      </c>
      <c r="Q40" s="434"/>
    </row>
    <row r="41" spans="3:17" x14ac:dyDescent="0.3">
      <c r="C41" s="424" t="s">
        <v>262</v>
      </c>
      <c r="D41" s="425"/>
      <c r="E41" s="425"/>
      <c r="F41" s="253"/>
      <c r="H41" s="434">
        <f t="shared" ref="H41:P45" si="11">(H17*H25*H33)</f>
        <v>360000</v>
      </c>
      <c r="I41" s="434"/>
      <c r="J41" s="434">
        <f t="shared" si="11"/>
        <v>607500</v>
      </c>
      <c r="K41" s="434"/>
      <c r="L41" s="434">
        <f t="shared" si="11"/>
        <v>874200</v>
      </c>
      <c r="M41" s="434"/>
      <c r="N41" s="434">
        <f t="shared" si="11"/>
        <v>979200</v>
      </c>
      <c r="O41" s="434"/>
      <c r="P41" s="434">
        <f t="shared" si="11"/>
        <v>1664000</v>
      </c>
      <c r="Q41" s="434"/>
    </row>
    <row r="42" spans="3:17" x14ac:dyDescent="0.3">
      <c r="C42" s="424" t="s">
        <v>263</v>
      </c>
      <c r="D42" s="425"/>
      <c r="E42" s="425"/>
      <c r="F42" s="253"/>
      <c r="H42" s="434">
        <f t="shared" si="11"/>
        <v>282800</v>
      </c>
      <c r="I42" s="434"/>
      <c r="J42" s="434">
        <f t="shared" si="11"/>
        <v>531090</v>
      </c>
      <c r="K42" s="434"/>
      <c r="L42" s="434">
        <f t="shared" si="11"/>
        <v>798624</v>
      </c>
      <c r="M42" s="434"/>
      <c r="N42" s="434">
        <f t="shared" si="11"/>
        <v>838680</v>
      </c>
      <c r="O42" s="434"/>
      <c r="P42" s="434">
        <f t="shared" si="11"/>
        <v>1419840</v>
      </c>
      <c r="Q42" s="434"/>
    </row>
    <row r="43" spans="3:17" x14ac:dyDescent="0.3">
      <c r="C43" s="424" t="s">
        <v>264</v>
      </c>
      <c r="D43" s="425"/>
      <c r="E43" s="425"/>
      <c r="F43" s="253"/>
      <c r="H43" s="434">
        <f t="shared" si="11"/>
        <v>355250</v>
      </c>
      <c r="I43" s="434"/>
      <c r="J43" s="434">
        <f t="shared" si="11"/>
        <v>661500</v>
      </c>
      <c r="K43" s="434"/>
      <c r="L43" s="434">
        <f t="shared" si="11"/>
        <v>1023840</v>
      </c>
      <c r="M43" s="434"/>
      <c r="N43" s="434">
        <f t="shared" si="11"/>
        <v>1343100</v>
      </c>
      <c r="O43" s="434"/>
      <c r="P43" s="434">
        <f t="shared" si="11"/>
        <v>1572000</v>
      </c>
      <c r="Q43" s="434"/>
    </row>
    <row r="44" spans="3:17" x14ac:dyDescent="0.3">
      <c r="C44" s="424" t="s">
        <v>265</v>
      </c>
      <c r="D44" s="425"/>
      <c r="E44" s="425"/>
      <c r="F44" s="253"/>
      <c r="H44" s="434">
        <f t="shared" si="11"/>
        <v>492660</v>
      </c>
      <c r="I44" s="434"/>
      <c r="J44" s="434">
        <f t="shared" si="11"/>
        <v>670950</v>
      </c>
      <c r="K44" s="434"/>
      <c r="L44" s="434">
        <f t="shared" si="11"/>
        <v>1028160</v>
      </c>
      <c r="M44" s="434"/>
      <c r="N44" s="434">
        <f t="shared" si="11"/>
        <v>1348650</v>
      </c>
      <c r="O44" s="434"/>
      <c r="P44" s="434">
        <f t="shared" si="11"/>
        <v>1578000</v>
      </c>
      <c r="Q44" s="434"/>
    </row>
    <row r="45" spans="3:17" x14ac:dyDescent="0.3">
      <c r="C45" s="414" t="s">
        <v>266</v>
      </c>
      <c r="D45" s="415"/>
      <c r="E45" s="415"/>
      <c r="F45" s="255"/>
      <c r="H45" s="434">
        <f t="shared" si="11"/>
        <v>282900</v>
      </c>
      <c r="I45" s="434"/>
      <c r="J45" s="434">
        <f t="shared" si="11"/>
        <v>670950</v>
      </c>
      <c r="K45" s="434"/>
      <c r="L45" s="434">
        <f t="shared" si="11"/>
        <v>1032480</v>
      </c>
      <c r="M45" s="434"/>
      <c r="N45" s="434">
        <f t="shared" si="11"/>
        <v>1354200</v>
      </c>
      <c r="O45" s="434"/>
      <c r="P45" s="434">
        <f t="shared" si="11"/>
        <v>2006400</v>
      </c>
      <c r="Q45" s="434"/>
    </row>
    <row r="46" spans="3:17" x14ac:dyDescent="0.3">
      <c r="C46" s="203"/>
      <c r="D46" s="203"/>
      <c r="E46" s="203"/>
      <c r="F46" s="203"/>
    </row>
  </sheetData>
  <mergeCells count="196">
    <mergeCell ref="C45:E45"/>
    <mergeCell ref="H45:I45"/>
    <mergeCell ref="J45:K45"/>
    <mergeCell ref="L45:M45"/>
    <mergeCell ref="N45:O45"/>
    <mergeCell ref="P45:Q45"/>
    <mergeCell ref="C44:E44"/>
    <mergeCell ref="H44:I44"/>
    <mergeCell ref="J44:K44"/>
    <mergeCell ref="L44:M44"/>
    <mergeCell ref="N44:O44"/>
    <mergeCell ref="P44:Q44"/>
    <mergeCell ref="C43:E43"/>
    <mergeCell ref="H43:I43"/>
    <mergeCell ref="J43:K43"/>
    <mergeCell ref="L43:M43"/>
    <mergeCell ref="N43:O43"/>
    <mergeCell ref="P43:Q43"/>
    <mergeCell ref="C42:E42"/>
    <mergeCell ref="H42:I42"/>
    <mergeCell ref="J42:K42"/>
    <mergeCell ref="L42:M42"/>
    <mergeCell ref="N42:O42"/>
    <mergeCell ref="P42:Q42"/>
    <mergeCell ref="C41:E41"/>
    <mergeCell ref="H41:I41"/>
    <mergeCell ref="J41:K41"/>
    <mergeCell ref="L41:M41"/>
    <mergeCell ref="N41:O41"/>
    <mergeCell ref="P41:Q41"/>
    <mergeCell ref="C40:E40"/>
    <mergeCell ref="H40:I40"/>
    <mergeCell ref="J40:K40"/>
    <mergeCell ref="L40:M40"/>
    <mergeCell ref="N40:O40"/>
    <mergeCell ref="P40:Q40"/>
    <mergeCell ref="H38:Q38"/>
    <mergeCell ref="H39:I39"/>
    <mergeCell ref="J39:K39"/>
    <mergeCell ref="L39:M39"/>
    <mergeCell ref="N39:O39"/>
    <mergeCell ref="P39:Q39"/>
    <mergeCell ref="C37:E37"/>
    <mergeCell ref="H37:I37"/>
    <mergeCell ref="J37:K37"/>
    <mergeCell ref="L37:M37"/>
    <mergeCell ref="N37:O37"/>
    <mergeCell ref="P37:Q37"/>
    <mergeCell ref="C36:E36"/>
    <mergeCell ref="H36:I36"/>
    <mergeCell ref="J36:K36"/>
    <mergeCell ref="L36:M36"/>
    <mergeCell ref="N36:O36"/>
    <mergeCell ref="P36:Q36"/>
    <mergeCell ref="C35:E35"/>
    <mergeCell ref="H35:I35"/>
    <mergeCell ref="J35:K35"/>
    <mergeCell ref="L35:M35"/>
    <mergeCell ref="N35:O35"/>
    <mergeCell ref="P35:Q35"/>
    <mergeCell ref="C34:E34"/>
    <mergeCell ref="H34:I34"/>
    <mergeCell ref="J34:K34"/>
    <mergeCell ref="L34:M34"/>
    <mergeCell ref="N34:O34"/>
    <mergeCell ref="P34:Q34"/>
    <mergeCell ref="C33:E33"/>
    <mergeCell ref="H33:I33"/>
    <mergeCell ref="J33:K33"/>
    <mergeCell ref="L33:M33"/>
    <mergeCell ref="N33:O33"/>
    <mergeCell ref="P33:Q33"/>
    <mergeCell ref="H31:Q31"/>
    <mergeCell ref="C32:E32"/>
    <mergeCell ref="H32:I32"/>
    <mergeCell ref="J32:K32"/>
    <mergeCell ref="L32:M32"/>
    <mergeCell ref="N32:O32"/>
    <mergeCell ref="P32:Q32"/>
    <mergeCell ref="C29:E29"/>
    <mergeCell ref="H29:I29"/>
    <mergeCell ref="J29:K29"/>
    <mergeCell ref="L29:M29"/>
    <mergeCell ref="N29:O29"/>
    <mergeCell ref="P29:Q29"/>
    <mergeCell ref="C28:E28"/>
    <mergeCell ref="H28:I28"/>
    <mergeCell ref="J28:K28"/>
    <mergeCell ref="L28:M28"/>
    <mergeCell ref="N28:O28"/>
    <mergeCell ref="P28:Q28"/>
    <mergeCell ref="C27:E27"/>
    <mergeCell ref="H27:I27"/>
    <mergeCell ref="J27:K27"/>
    <mergeCell ref="L27:M27"/>
    <mergeCell ref="N27:O27"/>
    <mergeCell ref="P27:Q27"/>
    <mergeCell ref="C26:E26"/>
    <mergeCell ref="H26:I26"/>
    <mergeCell ref="J26:K26"/>
    <mergeCell ref="L26:M26"/>
    <mergeCell ref="N26:O26"/>
    <mergeCell ref="P26:Q26"/>
    <mergeCell ref="C25:E25"/>
    <mergeCell ref="H25:I25"/>
    <mergeCell ref="J25:K25"/>
    <mergeCell ref="L25:M25"/>
    <mergeCell ref="N25:O25"/>
    <mergeCell ref="P25:Q25"/>
    <mergeCell ref="H23:Q23"/>
    <mergeCell ref="C24:E24"/>
    <mergeCell ref="H24:I24"/>
    <mergeCell ref="J24:K24"/>
    <mergeCell ref="L24:M24"/>
    <mergeCell ref="N24:O24"/>
    <mergeCell ref="P24:Q24"/>
    <mergeCell ref="C21:E21"/>
    <mergeCell ref="H21:I21"/>
    <mergeCell ref="J21:K21"/>
    <mergeCell ref="L21:M21"/>
    <mergeCell ref="N21:O21"/>
    <mergeCell ref="P21:Q21"/>
    <mergeCell ref="C20:E20"/>
    <mergeCell ref="H20:I20"/>
    <mergeCell ref="J20:K20"/>
    <mergeCell ref="L20:M20"/>
    <mergeCell ref="N20:O20"/>
    <mergeCell ref="P20:Q20"/>
    <mergeCell ref="C19:E19"/>
    <mergeCell ref="H19:I19"/>
    <mergeCell ref="J19:K19"/>
    <mergeCell ref="L19:M19"/>
    <mergeCell ref="N19:O19"/>
    <mergeCell ref="P19:Q19"/>
    <mergeCell ref="C18:E18"/>
    <mergeCell ref="H18:I18"/>
    <mergeCell ref="J18:K18"/>
    <mergeCell ref="L18:M18"/>
    <mergeCell ref="N18:O18"/>
    <mergeCell ref="P18:Q18"/>
    <mergeCell ref="C17:E17"/>
    <mergeCell ref="H17:I17"/>
    <mergeCell ref="J17:K17"/>
    <mergeCell ref="L17:M17"/>
    <mergeCell ref="N17:O17"/>
    <mergeCell ref="P17:Q17"/>
    <mergeCell ref="H15:Q15"/>
    <mergeCell ref="C16:E16"/>
    <mergeCell ref="H16:I16"/>
    <mergeCell ref="J16:K16"/>
    <mergeCell ref="L16:M16"/>
    <mergeCell ref="N16:O16"/>
    <mergeCell ref="P16:Q16"/>
    <mergeCell ref="C13:E13"/>
    <mergeCell ref="H13:I13"/>
    <mergeCell ref="J13:K13"/>
    <mergeCell ref="L13:M13"/>
    <mergeCell ref="N13:O13"/>
    <mergeCell ref="P13:Q13"/>
    <mergeCell ref="C12:E12"/>
    <mergeCell ref="H12:I12"/>
    <mergeCell ref="J12:K12"/>
    <mergeCell ref="L12:M12"/>
    <mergeCell ref="N12:O12"/>
    <mergeCell ref="P12:Q12"/>
    <mergeCell ref="C11:E11"/>
    <mergeCell ref="H11:I11"/>
    <mergeCell ref="J11:K11"/>
    <mergeCell ref="L11:M11"/>
    <mergeCell ref="N11:O11"/>
    <mergeCell ref="P11:Q11"/>
    <mergeCell ref="C10:E10"/>
    <mergeCell ref="H10:I10"/>
    <mergeCell ref="J10:K10"/>
    <mergeCell ref="L10:M10"/>
    <mergeCell ref="N10:O10"/>
    <mergeCell ref="P10:Q10"/>
    <mergeCell ref="C9:E9"/>
    <mergeCell ref="H9:I9"/>
    <mergeCell ref="J9:K9"/>
    <mergeCell ref="L9:M9"/>
    <mergeCell ref="N9:O9"/>
    <mergeCell ref="P9:Q9"/>
    <mergeCell ref="C2:I2"/>
    <mergeCell ref="C8:E8"/>
    <mergeCell ref="H8:I8"/>
    <mergeCell ref="J8:K8"/>
    <mergeCell ref="L8:M8"/>
    <mergeCell ref="N8:O8"/>
    <mergeCell ref="P8:Q8"/>
    <mergeCell ref="H6:Q6"/>
    <mergeCell ref="H7:I7"/>
    <mergeCell ref="J7:K7"/>
    <mergeCell ref="L7:M7"/>
    <mergeCell ref="N7:O7"/>
    <mergeCell ref="P7:Q7"/>
  </mergeCells>
  <phoneticPr fontId="7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2982-561E-4408-AA22-943173B7C308}">
  <sheetPr codeName="Sheet5"/>
  <dimension ref="B2:U30"/>
  <sheetViews>
    <sheetView workbookViewId="0">
      <selection activeCell="Q30" sqref="Q30"/>
    </sheetView>
  </sheetViews>
  <sheetFormatPr defaultRowHeight="14.4" x14ac:dyDescent="0.3"/>
  <cols>
    <col min="1" max="1" width="6.109375" customWidth="1"/>
    <col min="7" max="8" width="9.5546875" bestFit="1" customWidth="1"/>
    <col min="9" max="9" width="9.33203125" customWidth="1"/>
    <col min="10" max="10" width="9.77734375" customWidth="1"/>
    <col min="11" max="11" width="9.44140625" customWidth="1"/>
    <col min="12" max="12" width="9.77734375" customWidth="1"/>
    <col min="13" max="13" width="9.6640625" customWidth="1"/>
    <col min="14" max="14" width="9.44140625" customWidth="1"/>
    <col min="15" max="15" width="9.77734375" customWidth="1"/>
    <col min="16" max="16" width="9.6640625" customWidth="1"/>
    <col min="17" max="17" width="9.88671875" customWidth="1"/>
    <col min="18" max="18" width="9.44140625" customWidth="1"/>
    <col min="19" max="19" width="9.88671875" customWidth="1"/>
    <col min="21" max="21" width="9.88671875" bestFit="1" customWidth="1"/>
  </cols>
  <sheetData>
    <row r="2" spans="2:21" ht="18" x14ac:dyDescent="0.35">
      <c r="B2" s="265"/>
      <c r="C2" s="266" t="s">
        <v>224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8"/>
    </row>
    <row r="3" spans="2:21" x14ac:dyDescent="0.3">
      <c r="B3" s="269"/>
      <c r="C3" s="270" t="s">
        <v>145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1"/>
    </row>
    <row r="4" spans="2:21" x14ac:dyDescent="0.3">
      <c r="B4" s="269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1"/>
    </row>
    <row r="5" spans="2:21" x14ac:dyDescent="0.3">
      <c r="B5" s="281"/>
      <c r="C5" s="282" t="s">
        <v>176</v>
      </c>
      <c r="D5" s="283"/>
      <c r="E5" s="283"/>
      <c r="F5" s="283"/>
      <c r="G5" s="284">
        <v>2023</v>
      </c>
      <c r="H5" s="285">
        <v>2024</v>
      </c>
      <c r="I5" s="285">
        <v>2024</v>
      </c>
      <c r="J5" s="285">
        <v>2024</v>
      </c>
      <c r="K5" s="285">
        <v>2024</v>
      </c>
      <c r="L5" s="285">
        <v>2024</v>
      </c>
      <c r="M5" s="285">
        <v>2024</v>
      </c>
      <c r="N5" s="285">
        <v>2024</v>
      </c>
      <c r="O5" s="285">
        <v>2024</v>
      </c>
      <c r="P5" s="285">
        <v>2024</v>
      </c>
      <c r="Q5" s="285">
        <v>2024</v>
      </c>
      <c r="R5" s="285">
        <v>2024</v>
      </c>
      <c r="S5" s="285">
        <v>2024</v>
      </c>
      <c r="T5" s="303">
        <v>2024</v>
      </c>
      <c r="U5" s="208">
        <v>2023</v>
      </c>
    </row>
    <row r="6" spans="2:21" x14ac:dyDescent="0.3">
      <c r="B6" s="286"/>
      <c r="C6" s="287" t="s">
        <v>70</v>
      </c>
      <c r="D6" s="288"/>
      <c r="E6" s="288"/>
      <c r="F6" s="288"/>
      <c r="G6" s="284" t="s">
        <v>43</v>
      </c>
      <c r="H6" s="289" t="s">
        <v>32</v>
      </c>
      <c r="I6" s="289" t="s">
        <v>33</v>
      </c>
      <c r="J6" s="289" t="s">
        <v>34</v>
      </c>
      <c r="K6" s="289" t="s">
        <v>35</v>
      </c>
      <c r="L6" s="289" t="s">
        <v>36</v>
      </c>
      <c r="M6" s="289" t="s">
        <v>37</v>
      </c>
      <c r="N6" s="289" t="s">
        <v>38</v>
      </c>
      <c r="O6" s="289" t="s">
        <v>39</v>
      </c>
      <c r="P6" s="289" t="s">
        <v>40</v>
      </c>
      <c r="Q6" s="289" t="s">
        <v>41</v>
      </c>
      <c r="R6" s="289" t="s">
        <v>42</v>
      </c>
      <c r="S6" s="290" t="s">
        <v>43</v>
      </c>
      <c r="T6" s="300"/>
      <c r="U6" s="166"/>
    </row>
    <row r="7" spans="2:21" x14ac:dyDescent="0.3">
      <c r="B7" s="269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2"/>
    </row>
    <row r="8" spans="2:21" x14ac:dyDescent="0.3">
      <c r="B8" s="273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5"/>
    </row>
    <row r="9" spans="2:21" x14ac:dyDescent="0.3">
      <c r="B9" s="296" t="s">
        <v>120</v>
      </c>
      <c r="C9" s="288"/>
      <c r="D9" s="288"/>
      <c r="E9" s="297"/>
      <c r="F9" s="298" t="s">
        <v>223</v>
      </c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5"/>
    </row>
    <row r="10" spans="2:21" x14ac:dyDescent="0.3">
      <c r="B10" s="276" t="s">
        <v>204</v>
      </c>
      <c r="C10" s="270"/>
      <c r="D10" s="270"/>
      <c r="E10" s="274"/>
      <c r="F10" s="277">
        <v>0.05</v>
      </c>
      <c r="G10" s="270"/>
      <c r="H10" s="278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5"/>
    </row>
    <row r="11" spans="2:21" x14ac:dyDescent="0.3">
      <c r="B11" s="276" t="s">
        <v>205</v>
      </c>
      <c r="C11" s="270"/>
      <c r="D11" s="270"/>
      <c r="E11" s="274"/>
      <c r="F11" s="277">
        <v>0.05</v>
      </c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5"/>
    </row>
    <row r="12" spans="2:21" x14ac:dyDescent="0.3">
      <c r="B12" s="276" t="s">
        <v>206</v>
      </c>
      <c r="C12" s="270"/>
      <c r="D12" s="270"/>
      <c r="E12" s="274"/>
      <c r="F12" s="277">
        <v>0.1</v>
      </c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5"/>
    </row>
    <row r="13" spans="2:21" x14ac:dyDescent="0.3">
      <c r="B13" s="276" t="s">
        <v>207</v>
      </c>
      <c r="C13" s="270"/>
      <c r="D13" s="270"/>
      <c r="E13" s="274"/>
      <c r="F13" s="277">
        <v>0.1</v>
      </c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5"/>
    </row>
    <row r="14" spans="2:21" x14ac:dyDescent="0.3">
      <c r="B14" s="276" t="s">
        <v>208</v>
      </c>
      <c r="C14" s="270"/>
      <c r="D14" s="270"/>
      <c r="E14" s="274"/>
      <c r="F14" s="277">
        <v>0.15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5"/>
    </row>
    <row r="15" spans="2:21" x14ac:dyDescent="0.3">
      <c r="B15" s="276" t="s">
        <v>209</v>
      </c>
      <c r="C15" s="270"/>
      <c r="D15" s="270"/>
      <c r="E15" s="274"/>
      <c r="F15" s="277">
        <v>0.05</v>
      </c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5"/>
    </row>
    <row r="16" spans="2:21" x14ac:dyDescent="0.3">
      <c r="B16" s="273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435" t="s">
        <v>78</v>
      </c>
      <c r="U16" s="396"/>
    </row>
    <row r="17" spans="2:21" x14ac:dyDescent="0.3">
      <c r="B17" s="281"/>
      <c r="C17" s="283"/>
      <c r="D17" s="282" t="s">
        <v>119</v>
      </c>
      <c r="E17" s="283"/>
      <c r="F17" s="283"/>
      <c r="G17" s="291">
        <v>-1870127</v>
      </c>
      <c r="H17" s="292">
        <v>-1800127</v>
      </c>
      <c r="I17" s="292">
        <v>-1800127</v>
      </c>
      <c r="J17" s="292">
        <v>-1810127</v>
      </c>
      <c r="K17" s="292">
        <v>-1810127</v>
      </c>
      <c r="L17" s="292">
        <v>-1810127</v>
      </c>
      <c r="M17" s="292">
        <v>-1970664</v>
      </c>
      <c r="N17" s="292">
        <v>-1900127</v>
      </c>
      <c r="O17" s="292">
        <v>-2000127</v>
      </c>
      <c r="P17" s="292">
        <v>-1900127</v>
      </c>
      <c r="Q17" s="292">
        <v>-1998126</v>
      </c>
      <c r="R17" s="292">
        <v>-1998126</v>
      </c>
      <c r="S17" s="293">
        <v>-2000144</v>
      </c>
      <c r="T17" s="301"/>
      <c r="U17" s="304">
        <v>18335403</v>
      </c>
    </row>
    <row r="18" spans="2:21" x14ac:dyDescent="0.3">
      <c r="B18" s="286"/>
      <c r="C18" s="288"/>
      <c r="D18" s="287" t="s">
        <v>120</v>
      </c>
      <c r="E18" s="288"/>
      <c r="F18" s="288"/>
      <c r="G18" s="294">
        <v>-38444</v>
      </c>
      <c r="H18" s="295">
        <f>SUM(H19:H24)</f>
        <v>-10390</v>
      </c>
      <c r="I18" s="295">
        <f t="shared" ref="I18:S18" si="0">SUM(I19:I24)</f>
        <v>-10390</v>
      </c>
      <c r="J18" s="295">
        <f t="shared" si="0"/>
        <v>-10390</v>
      </c>
      <c r="K18" s="295">
        <f t="shared" si="0"/>
        <v>-10390</v>
      </c>
      <c r="L18" s="295">
        <f t="shared" si="0"/>
        <v>-10390</v>
      </c>
      <c r="M18" s="295">
        <f t="shared" si="0"/>
        <v>-10390</v>
      </c>
      <c r="N18" s="295">
        <f t="shared" si="0"/>
        <v>-10390</v>
      </c>
      <c r="O18" s="295">
        <f t="shared" si="0"/>
        <v>-10390</v>
      </c>
      <c r="P18" s="295">
        <f t="shared" si="0"/>
        <v>-10390</v>
      </c>
      <c r="Q18" s="295">
        <f t="shared" si="0"/>
        <v>-10390</v>
      </c>
      <c r="R18" s="295">
        <f t="shared" si="0"/>
        <v>-10390</v>
      </c>
      <c r="S18" s="295">
        <f t="shared" si="0"/>
        <v>-10390</v>
      </c>
      <c r="T18" s="302">
        <f t="shared" ref="T18:T22" si="1">SUM(H18:S18)</f>
        <v>-124680</v>
      </c>
      <c r="U18" s="304">
        <v>449528</v>
      </c>
    </row>
    <row r="19" spans="2:21" x14ac:dyDescent="0.3">
      <c r="B19" s="269"/>
      <c r="C19" s="270"/>
      <c r="D19" s="279" t="s">
        <v>204</v>
      </c>
      <c r="E19" s="270"/>
      <c r="F19" s="314"/>
      <c r="G19" s="315">
        <f>'IS 2024'!F19</f>
        <v>-9500</v>
      </c>
      <c r="H19" s="315">
        <f>'IS 2024'!G19</f>
        <v>-9500</v>
      </c>
      <c r="I19" s="315">
        <f>'IS 2024'!H19</f>
        <v>-9500</v>
      </c>
      <c r="J19" s="315">
        <f>'IS 2024'!I19</f>
        <v>-9500</v>
      </c>
      <c r="K19" s="315">
        <f>'IS 2024'!J19</f>
        <v>-9500</v>
      </c>
      <c r="L19" s="315">
        <f>'IS 2024'!K19</f>
        <v>-9500</v>
      </c>
      <c r="M19" s="315">
        <f>'IS 2024'!L19</f>
        <v>-9500</v>
      </c>
      <c r="N19" s="315">
        <f>'IS 2024'!M19</f>
        <v>-9500</v>
      </c>
      <c r="O19" s="315">
        <f>'IS 2024'!N19</f>
        <v>-9500</v>
      </c>
      <c r="P19" s="315">
        <f>'IS 2024'!O19</f>
        <v>-9500</v>
      </c>
      <c r="Q19" s="315">
        <f>'IS 2024'!P19</f>
        <v>-9500</v>
      </c>
      <c r="R19" s="315">
        <f>'IS 2024'!Q19</f>
        <v>-9500</v>
      </c>
      <c r="S19" s="315">
        <f>'IS 2024'!R19</f>
        <v>-9500</v>
      </c>
      <c r="T19" s="299">
        <f t="shared" si="1"/>
        <v>-114000</v>
      </c>
      <c r="U19" s="304">
        <v>438848</v>
      </c>
    </row>
    <row r="20" spans="2:21" x14ac:dyDescent="0.3">
      <c r="B20" s="269"/>
      <c r="C20" s="270"/>
      <c r="D20" s="279" t="s">
        <v>205</v>
      </c>
      <c r="E20" s="270"/>
      <c r="F20" s="316"/>
      <c r="G20" s="315">
        <f>'IS 2024'!F20</f>
        <v>-700</v>
      </c>
      <c r="H20" s="315">
        <f>'IS 2024'!G20</f>
        <v>-700</v>
      </c>
      <c r="I20" s="315">
        <f>'IS 2024'!H20</f>
        <v>-700</v>
      </c>
      <c r="J20" s="315">
        <f>'IS 2024'!I20</f>
        <v>-700</v>
      </c>
      <c r="K20" s="315">
        <f>'IS 2024'!J20</f>
        <v>-700</v>
      </c>
      <c r="L20" s="315">
        <f>'IS 2024'!K20</f>
        <v>-700</v>
      </c>
      <c r="M20" s="315">
        <f>'IS 2024'!L20</f>
        <v>-700</v>
      </c>
      <c r="N20" s="315">
        <f>'IS 2024'!M20</f>
        <v>-700</v>
      </c>
      <c r="O20" s="315">
        <f>'IS 2024'!N20</f>
        <v>-700</v>
      </c>
      <c r="P20" s="315">
        <f>'IS 2024'!O20</f>
        <v>-700</v>
      </c>
      <c r="Q20" s="315">
        <f>'IS 2024'!P20</f>
        <v>-700</v>
      </c>
      <c r="R20" s="315">
        <f>'IS 2024'!Q20</f>
        <v>-700</v>
      </c>
      <c r="S20" s="315">
        <f>'IS 2024'!R20</f>
        <v>-700</v>
      </c>
      <c r="T20" s="299">
        <f t="shared" si="1"/>
        <v>-8400</v>
      </c>
      <c r="U20" s="304">
        <v>8400</v>
      </c>
    </row>
    <row r="21" spans="2:21" x14ac:dyDescent="0.3">
      <c r="B21" s="269"/>
      <c r="C21" s="270"/>
      <c r="D21" s="279" t="s">
        <v>206</v>
      </c>
      <c r="E21" s="270"/>
      <c r="F21" s="316"/>
      <c r="G21" s="315">
        <f>'IS 2024'!F21</f>
        <v>-125</v>
      </c>
      <c r="H21" s="315">
        <f>'IS 2024'!G21</f>
        <v>-125</v>
      </c>
      <c r="I21" s="315">
        <f>'IS 2024'!H21</f>
        <v>-125</v>
      </c>
      <c r="J21" s="315">
        <f>'IS 2024'!I21</f>
        <v>-125</v>
      </c>
      <c r="K21" s="315">
        <f>'IS 2024'!J21</f>
        <v>-125</v>
      </c>
      <c r="L21" s="315">
        <f>'IS 2024'!K21</f>
        <v>-125</v>
      </c>
      <c r="M21" s="315">
        <f>'IS 2024'!L21</f>
        <v>-125</v>
      </c>
      <c r="N21" s="315">
        <f>'IS 2024'!M21</f>
        <v>-125</v>
      </c>
      <c r="O21" s="315">
        <f>'IS 2024'!N21</f>
        <v>-125</v>
      </c>
      <c r="P21" s="315">
        <f>'IS 2024'!O21</f>
        <v>-125</v>
      </c>
      <c r="Q21" s="315">
        <f>'IS 2024'!P21</f>
        <v>-125</v>
      </c>
      <c r="R21" s="315">
        <f>'IS 2024'!Q21</f>
        <v>-125</v>
      </c>
      <c r="S21" s="315">
        <f>'IS 2024'!R21</f>
        <v>-125</v>
      </c>
      <c r="T21" s="299">
        <f t="shared" si="1"/>
        <v>-1500</v>
      </c>
      <c r="U21" s="304">
        <v>1500</v>
      </c>
    </row>
    <row r="22" spans="2:21" x14ac:dyDescent="0.3">
      <c r="B22" s="269"/>
      <c r="C22" s="270"/>
      <c r="D22" s="279" t="s">
        <v>207</v>
      </c>
      <c r="E22" s="270"/>
      <c r="F22" s="317"/>
      <c r="G22" s="315">
        <f>'IS 2024'!F22</f>
        <v>-65</v>
      </c>
      <c r="H22" s="315">
        <f>'IS 2024'!G22</f>
        <v>-65</v>
      </c>
      <c r="I22" s="315">
        <f>'IS 2024'!H22</f>
        <v>-65</v>
      </c>
      <c r="J22" s="315">
        <f>'IS 2024'!I22</f>
        <v>-65</v>
      </c>
      <c r="K22" s="315">
        <f>'IS 2024'!J22</f>
        <v>-65</v>
      </c>
      <c r="L22" s="315">
        <f>'IS 2024'!K22</f>
        <v>-65</v>
      </c>
      <c r="M22" s="315">
        <f>'IS 2024'!L22</f>
        <v>-65</v>
      </c>
      <c r="N22" s="315">
        <f>'IS 2024'!M22</f>
        <v>-65</v>
      </c>
      <c r="O22" s="315">
        <f>'IS 2024'!N22</f>
        <v>-65</v>
      </c>
      <c r="P22" s="315">
        <f>'IS 2024'!O22</f>
        <v>-65</v>
      </c>
      <c r="Q22" s="315">
        <f>'IS 2024'!P22</f>
        <v>-65</v>
      </c>
      <c r="R22" s="315">
        <f>'IS 2024'!Q22</f>
        <v>-65</v>
      </c>
      <c r="S22" s="315">
        <f>'IS 2024'!R22</f>
        <v>-65</v>
      </c>
      <c r="T22" s="299">
        <f t="shared" si="1"/>
        <v>-780</v>
      </c>
      <c r="U22" s="305">
        <v>780</v>
      </c>
    </row>
    <row r="23" spans="2:21" x14ac:dyDescent="0.3">
      <c r="B23" s="269"/>
      <c r="C23" s="270"/>
      <c r="D23" s="279" t="s">
        <v>208</v>
      </c>
      <c r="E23" s="270"/>
      <c r="F23" s="270"/>
      <c r="G23" s="27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99"/>
      <c r="U23" s="305"/>
    </row>
    <row r="24" spans="2:21" x14ac:dyDescent="0.3">
      <c r="B24" s="269"/>
      <c r="C24" s="270"/>
      <c r="D24" s="279" t="s">
        <v>209</v>
      </c>
      <c r="E24" s="270"/>
      <c r="F24" s="270"/>
      <c r="G24" s="27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99"/>
      <c r="U24" s="305"/>
    </row>
    <row r="25" spans="2:21" x14ac:dyDescent="0.3"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</row>
    <row r="26" spans="2:21" x14ac:dyDescent="0.3"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</row>
    <row r="27" spans="2:21" x14ac:dyDescent="0.3"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4"/>
    </row>
    <row r="28" spans="2:21" x14ac:dyDescent="0.3"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</row>
    <row r="29" spans="2:21" x14ac:dyDescent="0.3"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</row>
    <row r="30" spans="2:21" x14ac:dyDescent="0.3"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</row>
  </sheetData>
  <mergeCells count="1">
    <mergeCell ref="T16:U16"/>
  </mergeCells>
  <dataValidations count="1">
    <dataValidation type="list" allowBlank="1" showInputMessage="1" showErrorMessage="1" sqref="F10:F15" xr:uid="{A7B9AC77-3BDD-42A8-9C5E-212ECCDE8A37}">
      <formula1>"5%,10%,15%,20%,25%,30%"</formula1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F679-812C-4C16-9DCD-AB2979357F89}">
  <sheetPr codeName="Sheet6"/>
  <dimension ref="A2:AB36"/>
  <sheetViews>
    <sheetView showGridLines="0" zoomScale="71" zoomScaleNormal="71" workbookViewId="0">
      <selection activeCell="R52" sqref="R52"/>
    </sheetView>
  </sheetViews>
  <sheetFormatPr defaultColWidth="12" defaultRowHeight="15" x14ac:dyDescent="0.25"/>
  <cols>
    <col min="1" max="1" width="3.33203125" style="76" customWidth="1"/>
    <col min="2" max="2" width="26.6640625" style="76" customWidth="1"/>
    <col min="3" max="6" width="13.33203125" style="76" customWidth="1"/>
    <col min="7" max="7" width="3.33203125" style="76" customWidth="1"/>
    <col min="8" max="9" width="14.109375" style="76" customWidth="1"/>
    <col min="10" max="15" width="12" style="76"/>
    <col min="16" max="16" width="3.33203125" style="76" customWidth="1"/>
    <col min="17" max="24" width="12" style="76"/>
    <col min="25" max="25" width="3.33203125" style="76" customWidth="1"/>
    <col min="26" max="16384" width="12" style="76"/>
  </cols>
  <sheetData>
    <row r="2" spans="1:25" x14ac:dyDescent="0.25">
      <c r="B2" s="91" t="s">
        <v>225</v>
      </c>
      <c r="C2" s="450"/>
      <c r="D2" s="451"/>
      <c r="E2" s="92"/>
      <c r="F2" s="452" t="s">
        <v>302</v>
      </c>
      <c r="G2" s="453"/>
      <c r="H2" s="453"/>
      <c r="I2" s="450"/>
      <c r="J2" s="450"/>
      <c r="K2" s="451"/>
    </row>
    <row r="4" spans="1:25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25" ht="17.399999999999999" x14ac:dyDescent="0.25">
      <c r="A5" s="93"/>
      <c r="B5" s="436" t="s">
        <v>284</v>
      </c>
      <c r="C5" s="437" t="s">
        <v>285</v>
      </c>
      <c r="D5" s="438"/>
      <c r="E5" s="437" t="s">
        <v>98</v>
      </c>
      <c r="F5" s="441"/>
      <c r="G5" s="93"/>
      <c r="H5" s="443" t="s">
        <v>289</v>
      </c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93"/>
    </row>
    <row r="6" spans="1:25" ht="17.399999999999999" x14ac:dyDescent="0.25">
      <c r="A6" s="93"/>
      <c r="B6" s="436"/>
      <c r="C6" s="439"/>
      <c r="D6" s="440"/>
      <c r="E6" s="439"/>
      <c r="F6" s="442"/>
      <c r="G6" s="93"/>
      <c r="H6" s="77"/>
      <c r="I6" s="77"/>
      <c r="J6" s="77"/>
      <c r="K6" s="77"/>
      <c r="L6" s="77"/>
      <c r="M6" s="77"/>
      <c r="N6" s="77"/>
      <c r="O6" s="77"/>
      <c r="P6" s="78"/>
      <c r="Q6" s="77"/>
      <c r="R6" s="77"/>
      <c r="S6" s="77"/>
      <c r="T6" s="77"/>
      <c r="U6" s="77"/>
      <c r="V6" s="77"/>
      <c r="W6" s="77"/>
      <c r="X6" s="77"/>
      <c r="Y6" s="93"/>
    </row>
    <row r="7" spans="1:25" s="81" customFormat="1" ht="30" x14ac:dyDescent="0.3">
      <c r="A7" s="94"/>
      <c r="B7" s="80">
        <f>SUM(D11:D35)</f>
        <v>453</v>
      </c>
      <c r="C7" s="445">
        <f>SUM(E11:E35)</f>
        <v>432</v>
      </c>
      <c r="D7" s="446"/>
      <c r="E7" s="447">
        <f>SUM(E11:E35)/SUM(D11:D35)</f>
        <v>0.95364238410596025</v>
      </c>
      <c r="F7" s="448"/>
      <c r="G7" s="94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94"/>
    </row>
    <row r="8" spans="1:25" x14ac:dyDescent="0.25">
      <c r="A8" s="93"/>
      <c r="B8" s="93"/>
      <c r="C8" s="93"/>
      <c r="D8" s="93"/>
      <c r="E8" s="93"/>
      <c r="F8" s="93"/>
      <c r="G8" s="93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93"/>
    </row>
    <row r="9" spans="1:25" ht="17.399999999999999" x14ac:dyDescent="0.25">
      <c r="A9" s="93"/>
      <c r="B9" s="455" t="s">
        <v>288</v>
      </c>
      <c r="C9" s="455"/>
      <c r="D9" s="455"/>
      <c r="E9" s="455"/>
      <c r="F9" s="455"/>
      <c r="G9" s="93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93"/>
    </row>
    <row r="10" spans="1:25" ht="26.4" x14ac:dyDescent="0.25">
      <c r="A10" s="93"/>
      <c r="B10" s="456" t="s">
        <v>99</v>
      </c>
      <c r="C10" s="456"/>
      <c r="D10" s="82" t="s">
        <v>286</v>
      </c>
      <c r="E10" s="82" t="s">
        <v>285</v>
      </c>
      <c r="F10" s="82" t="s">
        <v>100</v>
      </c>
      <c r="G10" s="93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93"/>
    </row>
    <row r="11" spans="1:25" ht="19.95" customHeight="1" x14ac:dyDescent="0.25">
      <c r="A11" s="93"/>
      <c r="B11" s="449" t="s">
        <v>283</v>
      </c>
      <c r="C11" s="449"/>
      <c r="D11" s="83">
        <v>12</v>
      </c>
      <c r="E11" s="83">
        <v>12</v>
      </c>
      <c r="F11" s="84">
        <f>D11/E11</f>
        <v>1</v>
      </c>
      <c r="G11" s="93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93"/>
    </row>
    <row r="12" spans="1:25" ht="19.95" customHeight="1" x14ac:dyDescent="0.25">
      <c r="A12" s="93"/>
      <c r="B12" s="449" t="s">
        <v>283</v>
      </c>
      <c r="C12" s="449"/>
      <c r="D12" s="83">
        <v>24</v>
      </c>
      <c r="E12" s="83">
        <v>24</v>
      </c>
      <c r="F12" s="85">
        <f t="shared" ref="F12:F35" si="0">D12/E12</f>
        <v>1</v>
      </c>
      <c r="G12" s="93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93"/>
    </row>
    <row r="13" spans="1:25" ht="19.95" customHeight="1" x14ac:dyDescent="0.25">
      <c r="A13" s="93"/>
      <c r="B13" s="449" t="s">
        <v>283</v>
      </c>
      <c r="C13" s="449"/>
      <c r="D13" s="83">
        <v>12</v>
      </c>
      <c r="E13" s="83">
        <v>12</v>
      </c>
      <c r="F13" s="84">
        <f t="shared" si="0"/>
        <v>1</v>
      </c>
      <c r="G13" s="93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93"/>
    </row>
    <row r="14" spans="1:25" ht="19.95" customHeight="1" x14ac:dyDescent="0.25">
      <c r="A14" s="93"/>
      <c r="B14" s="449" t="s">
        <v>283</v>
      </c>
      <c r="C14" s="449"/>
      <c r="D14" s="83">
        <v>12</v>
      </c>
      <c r="E14" s="83">
        <v>12</v>
      </c>
      <c r="F14" s="85">
        <f t="shared" si="0"/>
        <v>1</v>
      </c>
      <c r="G14" s="93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93"/>
    </row>
    <row r="15" spans="1:25" ht="19.95" customHeight="1" x14ac:dyDescent="0.25">
      <c r="A15" s="93"/>
      <c r="B15" s="449" t="s">
        <v>283</v>
      </c>
      <c r="C15" s="449"/>
      <c r="D15" s="83">
        <v>25</v>
      </c>
      <c r="E15" s="83">
        <v>24</v>
      </c>
      <c r="F15" s="84">
        <f t="shared" si="0"/>
        <v>1.0416666666666667</v>
      </c>
      <c r="G15" s="93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93"/>
    </row>
    <row r="16" spans="1:25" ht="19.95" customHeight="1" x14ac:dyDescent="0.25">
      <c r="A16" s="93"/>
      <c r="B16" s="449" t="s">
        <v>283</v>
      </c>
      <c r="C16" s="449"/>
      <c r="D16" s="83">
        <v>12</v>
      </c>
      <c r="E16" s="83">
        <v>12</v>
      </c>
      <c r="F16" s="85">
        <f t="shared" si="0"/>
        <v>1</v>
      </c>
      <c r="G16" s="93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93"/>
    </row>
    <row r="17" spans="1:28" ht="19.95" customHeight="1" x14ac:dyDescent="0.25">
      <c r="A17" s="93"/>
      <c r="B17" s="449" t="s">
        <v>283</v>
      </c>
      <c r="C17" s="449"/>
      <c r="D17" s="83">
        <v>26</v>
      </c>
      <c r="E17" s="83">
        <v>24</v>
      </c>
      <c r="F17" s="84">
        <f t="shared" si="0"/>
        <v>1.0833333333333333</v>
      </c>
      <c r="G17" s="93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93"/>
    </row>
    <row r="18" spans="1:28" ht="19.95" customHeight="1" x14ac:dyDescent="0.25">
      <c r="A18" s="93"/>
      <c r="B18" s="449" t="s">
        <v>283</v>
      </c>
      <c r="C18" s="449"/>
      <c r="D18" s="83">
        <v>28</v>
      </c>
      <c r="E18" s="83">
        <v>24</v>
      </c>
      <c r="F18" s="85">
        <f t="shared" si="0"/>
        <v>1.1666666666666667</v>
      </c>
      <c r="G18" s="93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93"/>
    </row>
    <row r="19" spans="1:28" ht="19.95" customHeight="1" x14ac:dyDescent="0.25">
      <c r="A19" s="93"/>
      <c r="B19" s="449" t="s">
        <v>283</v>
      </c>
      <c r="C19" s="449"/>
      <c r="D19" s="83">
        <v>30</v>
      </c>
      <c r="E19" s="83">
        <v>24</v>
      </c>
      <c r="F19" s="84">
        <f t="shared" si="0"/>
        <v>1.25</v>
      </c>
      <c r="G19" s="93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93"/>
    </row>
    <row r="20" spans="1:28" ht="19.95" customHeight="1" x14ac:dyDescent="0.25">
      <c r="A20" s="93"/>
      <c r="B20" s="449" t="s">
        <v>283</v>
      </c>
      <c r="C20" s="449"/>
      <c r="D20" s="83">
        <v>24</v>
      </c>
      <c r="E20" s="83">
        <v>24</v>
      </c>
      <c r="F20" s="85">
        <f t="shared" si="0"/>
        <v>1</v>
      </c>
      <c r="G20" s="93"/>
      <c r="H20" s="443" t="s">
        <v>214</v>
      </c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93"/>
    </row>
    <row r="21" spans="1:28" ht="19.95" customHeight="1" x14ac:dyDescent="0.25">
      <c r="A21" s="93"/>
      <c r="B21" s="449" t="s">
        <v>283</v>
      </c>
      <c r="C21" s="449"/>
      <c r="D21" s="83">
        <v>12</v>
      </c>
      <c r="E21" s="83">
        <v>12</v>
      </c>
      <c r="F21" s="84">
        <f t="shared" si="0"/>
        <v>1</v>
      </c>
      <c r="G21" s="93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93"/>
    </row>
    <row r="22" spans="1:28" ht="19.95" customHeight="1" x14ac:dyDescent="0.25">
      <c r="A22" s="93"/>
      <c r="B22" s="449" t="s">
        <v>283</v>
      </c>
      <c r="C22" s="449"/>
      <c r="D22" s="83">
        <v>12</v>
      </c>
      <c r="E22" s="83">
        <v>12</v>
      </c>
      <c r="F22" s="85">
        <f t="shared" si="0"/>
        <v>1</v>
      </c>
      <c r="G22" s="93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93"/>
    </row>
    <row r="23" spans="1:28" ht="19.95" customHeight="1" x14ac:dyDescent="0.25">
      <c r="A23" s="93"/>
      <c r="B23" s="449" t="s">
        <v>283</v>
      </c>
      <c r="C23" s="449"/>
      <c r="D23" s="83">
        <v>14</v>
      </c>
      <c r="E23" s="83">
        <v>12</v>
      </c>
      <c r="F23" s="84">
        <f t="shared" si="0"/>
        <v>1.1666666666666667</v>
      </c>
      <c r="G23" s="93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93"/>
    </row>
    <row r="24" spans="1:28" ht="19.95" customHeight="1" x14ac:dyDescent="0.25">
      <c r="A24" s="93"/>
      <c r="B24" s="449" t="s">
        <v>283</v>
      </c>
      <c r="C24" s="449"/>
      <c r="D24" s="83">
        <v>26</v>
      </c>
      <c r="E24" s="83">
        <v>24</v>
      </c>
      <c r="F24" s="85">
        <f t="shared" si="0"/>
        <v>1.0833333333333333</v>
      </c>
      <c r="G24" s="93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93"/>
    </row>
    <row r="25" spans="1:28" ht="19.95" customHeight="1" x14ac:dyDescent="0.25">
      <c r="A25" s="93"/>
      <c r="B25" s="449" t="s">
        <v>283</v>
      </c>
      <c r="C25" s="449"/>
      <c r="D25" s="83">
        <v>12</v>
      </c>
      <c r="E25" s="83">
        <v>12</v>
      </c>
      <c r="F25" s="84">
        <f t="shared" si="0"/>
        <v>1</v>
      </c>
      <c r="G25" s="93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93"/>
    </row>
    <row r="26" spans="1:28" ht="19.95" customHeight="1" x14ac:dyDescent="0.25">
      <c r="A26" s="93"/>
      <c r="B26" s="449" t="s">
        <v>283</v>
      </c>
      <c r="C26" s="449"/>
      <c r="D26" s="83">
        <v>12</v>
      </c>
      <c r="E26" s="83">
        <v>12</v>
      </c>
      <c r="F26" s="85">
        <f t="shared" si="0"/>
        <v>1</v>
      </c>
      <c r="G26" s="93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93"/>
    </row>
    <row r="27" spans="1:28" ht="19.95" customHeight="1" x14ac:dyDescent="0.25">
      <c r="A27" s="93"/>
      <c r="B27" s="449" t="s">
        <v>283</v>
      </c>
      <c r="C27" s="449"/>
      <c r="D27" s="83">
        <v>13</v>
      </c>
      <c r="E27" s="83">
        <v>12</v>
      </c>
      <c r="F27" s="84">
        <f t="shared" si="0"/>
        <v>1.0833333333333333</v>
      </c>
      <c r="G27" s="93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93"/>
    </row>
    <row r="28" spans="1:28" ht="19.95" customHeight="1" x14ac:dyDescent="0.25">
      <c r="A28" s="93"/>
      <c r="B28" s="449" t="s">
        <v>283</v>
      </c>
      <c r="C28" s="449"/>
      <c r="D28" s="83">
        <v>12</v>
      </c>
      <c r="E28" s="83">
        <v>12</v>
      </c>
      <c r="F28" s="85">
        <f t="shared" si="0"/>
        <v>1</v>
      </c>
      <c r="G28" s="93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93"/>
      <c r="AB28" s="86"/>
    </row>
    <row r="29" spans="1:28" ht="19.95" customHeight="1" x14ac:dyDescent="0.25">
      <c r="A29" s="93"/>
      <c r="B29" s="449" t="s">
        <v>283</v>
      </c>
      <c r="C29" s="449"/>
      <c r="D29" s="83">
        <v>25</v>
      </c>
      <c r="E29" s="83">
        <v>24</v>
      </c>
      <c r="F29" s="84">
        <f t="shared" si="0"/>
        <v>1.0416666666666667</v>
      </c>
      <c r="G29" s="93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93"/>
    </row>
    <row r="30" spans="1:28" ht="19.95" customHeight="1" x14ac:dyDescent="0.25">
      <c r="A30" s="93"/>
      <c r="B30" s="449" t="s">
        <v>283</v>
      </c>
      <c r="C30" s="449"/>
      <c r="D30" s="83">
        <v>26</v>
      </c>
      <c r="E30" s="83">
        <v>24</v>
      </c>
      <c r="F30" s="85">
        <f t="shared" si="0"/>
        <v>1.0833333333333333</v>
      </c>
      <c r="G30" s="93"/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454"/>
      <c r="X30" s="454"/>
      <c r="Y30" s="93"/>
    </row>
    <row r="31" spans="1:28" ht="19.95" customHeight="1" x14ac:dyDescent="0.25">
      <c r="A31" s="93"/>
      <c r="B31" s="449" t="s">
        <v>283</v>
      </c>
      <c r="C31" s="449"/>
      <c r="D31" s="83">
        <v>24</v>
      </c>
      <c r="E31" s="83">
        <v>24</v>
      </c>
      <c r="F31" s="84">
        <f t="shared" si="0"/>
        <v>1</v>
      </c>
      <c r="G31" s="93"/>
      <c r="H31" s="87"/>
      <c r="I31" s="87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93"/>
    </row>
    <row r="32" spans="1:28" ht="19.95" customHeight="1" x14ac:dyDescent="0.25">
      <c r="A32" s="93"/>
      <c r="B32" s="449" t="s">
        <v>283</v>
      </c>
      <c r="C32" s="449"/>
      <c r="D32" s="83">
        <v>12</v>
      </c>
      <c r="E32" s="83">
        <v>12</v>
      </c>
      <c r="F32" s="85">
        <f t="shared" si="0"/>
        <v>1</v>
      </c>
      <c r="G32" s="93"/>
      <c r="H32" s="88"/>
      <c r="I32" s="89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93"/>
    </row>
    <row r="33" spans="1:25" ht="19.95" customHeight="1" x14ac:dyDescent="0.25">
      <c r="A33" s="93"/>
      <c r="B33" s="449" t="s">
        <v>283</v>
      </c>
      <c r="C33" s="449"/>
      <c r="D33" s="83">
        <v>24</v>
      </c>
      <c r="E33" s="83">
        <v>24</v>
      </c>
      <c r="F33" s="84">
        <f t="shared" si="0"/>
        <v>1</v>
      </c>
      <c r="G33" s="93"/>
      <c r="H33" s="90"/>
      <c r="I33" s="89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93"/>
    </row>
    <row r="34" spans="1:25" ht="19.95" customHeight="1" x14ac:dyDescent="0.25">
      <c r="A34" s="93"/>
      <c r="B34" s="449" t="s">
        <v>283</v>
      </c>
      <c r="C34" s="449"/>
      <c r="D34" s="83">
        <v>12</v>
      </c>
      <c r="E34" s="83">
        <v>12</v>
      </c>
      <c r="F34" s="85">
        <f t="shared" si="0"/>
        <v>1</v>
      </c>
      <c r="G34" s="93"/>
      <c r="H34" s="90"/>
      <c r="I34" s="89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93"/>
    </row>
    <row r="35" spans="1:25" ht="19.95" customHeight="1" x14ac:dyDescent="0.25">
      <c r="A35" s="93"/>
      <c r="B35" s="449" t="s">
        <v>283</v>
      </c>
      <c r="C35" s="449"/>
      <c r="D35" s="83">
        <v>12</v>
      </c>
      <c r="E35" s="83">
        <v>12</v>
      </c>
      <c r="F35" s="84">
        <f t="shared" si="0"/>
        <v>1</v>
      </c>
      <c r="G35" s="93"/>
      <c r="H35" s="90"/>
      <c r="I35" s="89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93"/>
    </row>
    <row r="36" spans="1:25" x14ac:dyDescent="0.2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</row>
  </sheetData>
  <mergeCells count="38">
    <mergeCell ref="F2:H2"/>
    <mergeCell ref="I2:K2"/>
    <mergeCell ref="B31:C31"/>
    <mergeCell ref="B32:C32"/>
    <mergeCell ref="B33:C33"/>
    <mergeCell ref="H30:X30"/>
    <mergeCell ref="H20:X20"/>
    <mergeCell ref="B18:C18"/>
    <mergeCell ref="B19:C19"/>
    <mergeCell ref="B20:C20"/>
    <mergeCell ref="B9:F9"/>
    <mergeCell ref="B10:C10"/>
    <mergeCell ref="B11:C11"/>
    <mergeCell ref="B12:C12"/>
    <mergeCell ref="B13:C13"/>
    <mergeCell ref="B14:C14"/>
    <mergeCell ref="B34:C34"/>
    <mergeCell ref="B35:C35"/>
    <mergeCell ref="C2:D2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5:C15"/>
    <mergeCell ref="B16:C16"/>
    <mergeCell ref="B17:C17"/>
    <mergeCell ref="B5:B6"/>
    <mergeCell ref="C5:D6"/>
    <mergeCell ref="E5:F6"/>
    <mergeCell ref="H5:X5"/>
    <mergeCell ref="C7:D7"/>
    <mergeCell ref="E7:F7"/>
  </mergeCells>
  <phoneticPr fontId="7" type="noConversion"/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6E1D-F011-485F-9ED2-43FC1C025345}">
  <sheetPr codeName="Sheet7"/>
  <dimension ref="C2:K46"/>
  <sheetViews>
    <sheetView showGridLines="0" zoomScale="93" zoomScaleNormal="93" workbookViewId="0">
      <selection activeCell="M55" sqref="M55"/>
    </sheetView>
  </sheetViews>
  <sheetFormatPr defaultRowHeight="14.4" x14ac:dyDescent="0.3"/>
  <cols>
    <col min="1" max="1" width="4.44140625" customWidth="1"/>
    <col min="2" max="2" width="2.6640625" customWidth="1"/>
    <col min="3" max="3" width="17.6640625" customWidth="1"/>
    <col min="4" max="11" width="21.77734375" customWidth="1"/>
  </cols>
  <sheetData>
    <row r="2" spans="3:11" ht="16.2" customHeight="1" x14ac:dyDescent="0.3">
      <c r="C2" s="457" t="s">
        <v>216</v>
      </c>
      <c r="D2" s="460"/>
      <c r="E2" s="457" t="s">
        <v>217</v>
      </c>
      <c r="F2" s="458"/>
      <c r="G2" s="458"/>
      <c r="H2" s="105"/>
      <c r="I2" s="106">
        <f>D21/E21</f>
        <v>1.0018429782528566</v>
      </c>
      <c r="J2" s="103" t="s">
        <v>101</v>
      </c>
      <c r="K2" s="107">
        <f>D21/K21</f>
        <v>52.606451612903228</v>
      </c>
    </row>
    <row r="3" spans="3:11" ht="7.8" customHeight="1" x14ac:dyDescent="0.3">
      <c r="C3" s="95"/>
    </row>
    <row r="4" spans="3:11" ht="20.399999999999999" customHeight="1" x14ac:dyDescent="0.4">
      <c r="C4" s="96"/>
      <c r="D4" s="461" t="s">
        <v>303</v>
      </c>
      <c r="E4" s="461"/>
      <c r="F4" s="104"/>
      <c r="G4" s="462" t="s">
        <v>102</v>
      </c>
      <c r="H4" s="462"/>
      <c r="I4" s="462" t="s">
        <v>108</v>
      </c>
      <c r="J4" s="462"/>
      <c r="K4" s="96"/>
    </row>
    <row r="5" spans="3:11" x14ac:dyDescent="0.3">
      <c r="C5" s="97" t="s">
        <v>283</v>
      </c>
      <c r="D5" s="98" t="s">
        <v>97</v>
      </c>
      <c r="E5" s="98" t="s">
        <v>103</v>
      </c>
      <c r="F5" s="98" t="s">
        <v>109</v>
      </c>
      <c r="G5" s="98" t="s">
        <v>104</v>
      </c>
      <c r="H5" s="98" t="s">
        <v>105</v>
      </c>
      <c r="I5" s="109" t="s">
        <v>78</v>
      </c>
      <c r="J5" s="109" t="s">
        <v>107</v>
      </c>
      <c r="K5" s="110" t="s">
        <v>106</v>
      </c>
    </row>
    <row r="6" spans="3:11" ht="15" customHeight="1" x14ac:dyDescent="0.3">
      <c r="C6" s="63" t="s">
        <v>283</v>
      </c>
      <c r="D6" s="235">
        <v>2760</v>
      </c>
      <c r="E6" s="235">
        <v>2760</v>
      </c>
      <c r="F6" s="111">
        <f t="shared" ref="F6:F21" si="0">D6/E6</f>
        <v>1</v>
      </c>
      <c r="G6" s="236">
        <f>IF(ISBLANK(D6-E6),"",(D6-E6))</f>
        <v>0</v>
      </c>
      <c r="H6" s="237">
        <f>AVERAGE($G$6:$G$20)</f>
        <v>5</v>
      </c>
      <c r="I6" s="235">
        <v>35</v>
      </c>
      <c r="J6" s="235">
        <v>15</v>
      </c>
      <c r="K6" s="238">
        <f>SUM(Table132[[#This Row],[Totals]:[Overuns]])</f>
        <v>50</v>
      </c>
    </row>
    <row r="7" spans="3:11" ht="15" customHeight="1" x14ac:dyDescent="0.3">
      <c r="C7" s="63" t="s">
        <v>283</v>
      </c>
      <c r="D7" s="235">
        <v>2660</v>
      </c>
      <c r="E7" s="235">
        <v>2760</v>
      </c>
      <c r="F7" s="111">
        <f t="shared" si="0"/>
        <v>0.96376811594202894</v>
      </c>
      <c r="G7" s="236">
        <f t="shared" ref="G7:G20" si="1">IF(ISBLANK(D7-E7),"",(D7-E7))</f>
        <v>-100</v>
      </c>
      <c r="H7" s="237">
        <f t="shared" ref="H7:H20" si="2">AVERAGE($G$6:$G$20)</f>
        <v>5</v>
      </c>
      <c r="I7" s="235">
        <v>35</v>
      </c>
      <c r="J7" s="235">
        <v>16</v>
      </c>
      <c r="K7" s="238">
        <f>SUM(Table132[[#This Row],[Totals]:[Overuns]])</f>
        <v>51</v>
      </c>
    </row>
    <row r="8" spans="3:11" ht="15" customHeight="1" x14ac:dyDescent="0.3">
      <c r="C8" s="63" t="s">
        <v>283</v>
      </c>
      <c r="D8" s="235">
        <v>2560</v>
      </c>
      <c r="E8" s="235">
        <v>2660</v>
      </c>
      <c r="F8" s="111">
        <f t="shared" si="0"/>
        <v>0.96240601503759393</v>
      </c>
      <c r="G8" s="236">
        <f t="shared" si="1"/>
        <v>-100</v>
      </c>
      <c r="H8" s="237">
        <f t="shared" si="2"/>
        <v>5</v>
      </c>
      <c r="I8" s="235">
        <v>35</v>
      </c>
      <c r="J8" s="235">
        <v>16</v>
      </c>
      <c r="K8" s="238">
        <f>SUM(Table132[[#This Row],[Totals]:[Overuns]])</f>
        <v>51</v>
      </c>
    </row>
    <row r="9" spans="3:11" ht="15" customHeight="1" x14ac:dyDescent="0.3">
      <c r="C9" s="63" t="s">
        <v>283</v>
      </c>
      <c r="D9" s="235">
        <v>2550</v>
      </c>
      <c r="E9" s="235">
        <v>2450</v>
      </c>
      <c r="F9" s="111">
        <f t="shared" si="0"/>
        <v>1.0408163265306123</v>
      </c>
      <c r="G9" s="236">
        <f t="shared" si="1"/>
        <v>100</v>
      </c>
      <c r="H9" s="237">
        <f t="shared" si="2"/>
        <v>5</v>
      </c>
      <c r="I9" s="235">
        <v>35</v>
      </c>
      <c r="J9" s="235">
        <v>16</v>
      </c>
      <c r="K9" s="238">
        <f>SUM(Table132[[#This Row],[Totals]:[Overuns]])</f>
        <v>51</v>
      </c>
    </row>
    <row r="10" spans="3:11" ht="15" customHeight="1" x14ac:dyDescent="0.3">
      <c r="C10" s="63" t="s">
        <v>283</v>
      </c>
      <c r="D10" s="235">
        <v>2550</v>
      </c>
      <c r="E10" s="235">
        <v>2500</v>
      </c>
      <c r="F10" s="111">
        <f t="shared" si="0"/>
        <v>1.02</v>
      </c>
      <c r="G10" s="236">
        <f t="shared" si="1"/>
        <v>50</v>
      </c>
      <c r="H10" s="237">
        <f t="shared" si="2"/>
        <v>5</v>
      </c>
      <c r="I10" s="235">
        <v>35</v>
      </c>
      <c r="J10" s="235">
        <v>16</v>
      </c>
      <c r="K10" s="238">
        <f>SUM(Table132[[#This Row],[Totals]:[Overuns]])</f>
        <v>51</v>
      </c>
    </row>
    <row r="11" spans="3:11" ht="15" customHeight="1" x14ac:dyDescent="0.3">
      <c r="C11" s="63" t="s">
        <v>283</v>
      </c>
      <c r="D11" s="235">
        <v>2760</v>
      </c>
      <c r="E11" s="235">
        <v>2760</v>
      </c>
      <c r="F11" s="111">
        <f t="shared" si="0"/>
        <v>1</v>
      </c>
      <c r="G11" s="236">
        <f t="shared" si="1"/>
        <v>0</v>
      </c>
      <c r="H11" s="237">
        <f t="shared" si="2"/>
        <v>5</v>
      </c>
      <c r="I11" s="235">
        <v>35</v>
      </c>
      <c r="J11" s="235">
        <v>15</v>
      </c>
      <c r="K11" s="238">
        <f>SUM(Table132[[#This Row],[Totals]:[Overuns]])</f>
        <v>50</v>
      </c>
    </row>
    <row r="12" spans="3:11" ht="15" customHeight="1" x14ac:dyDescent="0.3">
      <c r="C12" s="63" t="s">
        <v>283</v>
      </c>
      <c r="D12" s="235">
        <v>2760</v>
      </c>
      <c r="E12" s="235">
        <v>2760</v>
      </c>
      <c r="F12" s="111">
        <f t="shared" si="0"/>
        <v>1</v>
      </c>
      <c r="G12" s="236">
        <f t="shared" si="1"/>
        <v>0</v>
      </c>
      <c r="H12" s="237">
        <f t="shared" si="2"/>
        <v>5</v>
      </c>
      <c r="I12" s="235">
        <v>35</v>
      </c>
      <c r="J12" s="235">
        <v>20</v>
      </c>
      <c r="K12" s="238">
        <f>SUM(Table132[[#This Row],[Totals]:[Overuns]])</f>
        <v>55</v>
      </c>
    </row>
    <row r="13" spans="3:11" ht="15" customHeight="1" x14ac:dyDescent="0.3">
      <c r="C13" s="63" t="s">
        <v>283</v>
      </c>
      <c r="D13" s="235">
        <v>2760</v>
      </c>
      <c r="E13" s="235">
        <v>2700</v>
      </c>
      <c r="F13" s="111">
        <f t="shared" si="0"/>
        <v>1.0222222222222221</v>
      </c>
      <c r="G13" s="236">
        <f t="shared" si="1"/>
        <v>60</v>
      </c>
      <c r="H13" s="237">
        <f t="shared" si="2"/>
        <v>5</v>
      </c>
      <c r="I13" s="235">
        <v>35</v>
      </c>
      <c r="J13" s="235">
        <v>20</v>
      </c>
      <c r="K13" s="238">
        <f>SUM(Table132[[#This Row],[Totals]:[Overuns]])</f>
        <v>55</v>
      </c>
    </row>
    <row r="14" spans="3:11" ht="15" customHeight="1" x14ac:dyDescent="0.3">
      <c r="C14" s="63" t="s">
        <v>283</v>
      </c>
      <c r="D14" s="235">
        <v>2760</v>
      </c>
      <c r="E14" s="235">
        <v>2750</v>
      </c>
      <c r="F14" s="111">
        <f t="shared" si="0"/>
        <v>1.0036363636363637</v>
      </c>
      <c r="G14" s="236">
        <f t="shared" si="1"/>
        <v>10</v>
      </c>
      <c r="H14" s="237">
        <f t="shared" si="2"/>
        <v>5</v>
      </c>
      <c r="I14" s="235">
        <v>35</v>
      </c>
      <c r="J14" s="235">
        <v>20</v>
      </c>
      <c r="K14" s="238">
        <f>SUM(Table132[[#This Row],[Totals]:[Overuns]])</f>
        <v>55</v>
      </c>
    </row>
    <row r="15" spans="3:11" ht="15" customHeight="1" x14ac:dyDescent="0.3">
      <c r="C15" s="63" t="s">
        <v>283</v>
      </c>
      <c r="D15" s="235">
        <v>3000</v>
      </c>
      <c r="E15" s="235">
        <v>3005</v>
      </c>
      <c r="F15" s="111">
        <f t="shared" si="0"/>
        <v>0.99833610648918469</v>
      </c>
      <c r="G15" s="236">
        <f t="shared" si="1"/>
        <v>-5</v>
      </c>
      <c r="H15" s="237">
        <f t="shared" si="2"/>
        <v>5</v>
      </c>
      <c r="I15" s="235">
        <v>35</v>
      </c>
      <c r="J15" s="235">
        <v>15</v>
      </c>
      <c r="K15" s="238">
        <f>SUM(Table132[[#This Row],[Totals]:[Overuns]])</f>
        <v>50</v>
      </c>
    </row>
    <row r="16" spans="3:11" ht="15" customHeight="1" x14ac:dyDescent="0.3">
      <c r="C16" s="63" t="s">
        <v>283</v>
      </c>
      <c r="D16" s="235">
        <v>2970</v>
      </c>
      <c r="E16" s="235">
        <v>2970</v>
      </c>
      <c r="F16" s="111">
        <f t="shared" si="0"/>
        <v>1</v>
      </c>
      <c r="G16" s="236">
        <f t="shared" si="1"/>
        <v>0</v>
      </c>
      <c r="H16" s="237">
        <f t="shared" si="2"/>
        <v>5</v>
      </c>
      <c r="I16" s="235">
        <v>35</v>
      </c>
      <c r="J16" s="235">
        <v>22</v>
      </c>
      <c r="K16" s="238">
        <f>SUM(Table132[[#This Row],[Totals]:[Overuns]])</f>
        <v>57</v>
      </c>
    </row>
    <row r="17" spans="3:11" ht="15" customHeight="1" x14ac:dyDescent="0.3">
      <c r="C17" s="63" t="s">
        <v>283</v>
      </c>
      <c r="D17" s="235">
        <v>2760</v>
      </c>
      <c r="E17" s="235">
        <v>2760</v>
      </c>
      <c r="F17" s="111">
        <f t="shared" si="0"/>
        <v>1</v>
      </c>
      <c r="G17" s="236">
        <f>IF(ISBLANK(D17-E17),"",(D17-E17))</f>
        <v>0</v>
      </c>
      <c r="H17" s="237">
        <f t="shared" si="2"/>
        <v>5</v>
      </c>
      <c r="I17" s="235">
        <v>35</v>
      </c>
      <c r="J17" s="235">
        <v>15</v>
      </c>
      <c r="K17" s="235">
        <f>SUM(Table132[[#This Row],[Totals]:[Overuns]])</f>
        <v>50</v>
      </c>
    </row>
    <row r="18" spans="3:11" ht="15" customHeight="1" x14ac:dyDescent="0.3">
      <c r="C18" s="63" t="s">
        <v>283</v>
      </c>
      <c r="D18" s="235">
        <v>2760</v>
      </c>
      <c r="E18" s="235">
        <v>2760</v>
      </c>
      <c r="F18" s="111">
        <f t="shared" si="0"/>
        <v>1</v>
      </c>
      <c r="G18" s="236">
        <f>IF(ISBLANK(D18-E18),"",(D18-E18))</f>
        <v>0</v>
      </c>
      <c r="H18" s="237">
        <f t="shared" si="2"/>
        <v>5</v>
      </c>
      <c r="I18" s="235">
        <v>35</v>
      </c>
      <c r="J18" s="235">
        <v>16</v>
      </c>
      <c r="K18" s="235">
        <f>SUM(Table132[[#This Row],[Totals]:[Overuns]])</f>
        <v>51</v>
      </c>
    </row>
    <row r="19" spans="3:11" ht="15" customHeight="1" x14ac:dyDescent="0.3">
      <c r="C19" s="63" t="s">
        <v>283</v>
      </c>
      <c r="D19" s="235">
        <v>2400</v>
      </c>
      <c r="E19" s="235">
        <v>2350</v>
      </c>
      <c r="F19" s="111">
        <f t="shared" si="0"/>
        <v>1.0212765957446808</v>
      </c>
      <c r="G19" s="236">
        <f>IF(ISBLANK(D19-E19),"",(D19-E19))</f>
        <v>50</v>
      </c>
      <c r="H19" s="237">
        <f t="shared" si="2"/>
        <v>5</v>
      </c>
      <c r="I19" s="235">
        <v>35</v>
      </c>
      <c r="J19" s="235">
        <v>14</v>
      </c>
      <c r="K19" s="235">
        <f>SUM(Table132[[#This Row],[Totals]:[Overuns]])</f>
        <v>49</v>
      </c>
    </row>
    <row r="20" spans="3:11" ht="15" customHeight="1" x14ac:dyDescent="0.3">
      <c r="C20" s="63" t="s">
        <v>283</v>
      </c>
      <c r="D20" s="235">
        <v>2760</v>
      </c>
      <c r="E20" s="235">
        <v>2750</v>
      </c>
      <c r="F20" s="111">
        <f t="shared" si="0"/>
        <v>1.0036363636363637</v>
      </c>
      <c r="G20" s="236">
        <f t="shared" si="1"/>
        <v>10</v>
      </c>
      <c r="H20" s="237">
        <f t="shared" si="2"/>
        <v>5</v>
      </c>
      <c r="I20" s="235">
        <v>35</v>
      </c>
      <c r="J20" s="235">
        <v>14</v>
      </c>
      <c r="K20" s="238">
        <f>SUM(Table132[[#This Row],[Totals]:[Overuns]])</f>
        <v>49</v>
      </c>
    </row>
    <row r="21" spans="3:11" ht="15" x14ac:dyDescent="0.3">
      <c r="C21" s="108" t="s">
        <v>78</v>
      </c>
      <c r="D21" s="239">
        <f>SUBTOTAL(109,D6:D20)</f>
        <v>40770</v>
      </c>
      <c r="E21" s="239">
        <f>SUBTOTAL(109,E6:E20)</f>
        <v>40695</v>
      </c>
      <c r="F21" s="112">
        <f t="shared" si="0"/>
        <v>1.0018429782528566</v>
      </c>
      <c r="G21" s="240">
        <f>IF(ISBLANK(D21-E21),"",(D21-E21))</f>
        <v>75</v>
      </c>
      <c r="H21" s="239">
        <f>SUBTOTAL(109,H6:H20)</f>
        <v>75</v>
      </c>
      <c r="I21" s="239">
        <f>SUBTOTAL(109,I6:I20)</f>
        <v>525</v>
      </c>
      <c r="J21" s="239">
        <f>SUBTOTAL(109,J6:J20)</f>
        <v>250</v>
      </c>
      <c r="K21" s="239">
        <f>SUM(Table132[[#This Row],[Totals]:[Overuns]])</f>
        <v>775</v>
      </c>
    </row>
    <row r="22" spans="3:11" x14ac:dyDescent="0.3">
      <c r="C22" s="99"/>
      <c r="D22" s="100"/>
      <c r="E22" s="100"/>
      <c r="F22" s="100"/>
      <c r="G22" s="100"/>
      <c r="H22" s="100"/>
      <c r="I22" s="100"/>
      <c r="J22" s="100"/>
      <c r="K22" s="100"/>
    </row>
    <row r="23" spans="3:11" ht="18" x14ac:dyDescent="0.3">
      <c r="C23" s="459"/>
      <c r="D23" s="459"/>
      <c r="E23" s="459"/>
      <c r="F23" s="459"/>
      <c r="G23" s="459"/>
      <c r="H23" s="459"/>
      <c r="I23" s="459"/>
      <c r="J23" s="459"/>
      <c r="K23" s="459"/>
    </row>
    <row r="24" spans="3:11" ht="15.6" x14ac:dyDescent="0.3">
      <c r="C24" s="102"/>
      <c r="D24" s="101"/>
      <c r="E24" s="101"/>
      <c r="F24" s="101"/>
      <c r="G24" s="101"/>
      <c r="H24" s="101"/>
      <c r="I24" s="101"/>
      <c r="J24" s="101"/>
      <c r="K24" s="102"/>
    </row>
    <row r="25" spans="3:11" ht="15.6" x14ac:dyDescent="0.3">
      <c r="C25" s="102"/>
      <c r="D25" s="101"/>
      <c r="E25" s="101"/>
      <c r="F25" s="101"/>
      <c r="G25" s="101"/>
      <c r="H25" s="101"/>
      <c r="I25" s="101"/>
      <c r="J25" s="101"/>
      <c r="K25" s="102"/>
    </row>
    <row r="26" spans="3:11" ht="15.6" x14ac:dyDescent="0.3">
      <c r="C26" s="102"/>
      <c r="D26" s="101"/>
      <c r="E26" s="101"/>
      <c r="F26" s="101"/>
      <c r="G26" s="101"/>
      <c r="H26" s="101"/>
      <c r="I26" s="101"/>
      <c r="J26" s="101"/>
      <c r="K26" s="102"/>
    </row>
    <row r="27" spans="3:11" ht="15.6" x14ac:dyDescent="0.3">
      <c r="C27" s="102"/>
      <c r="D27" s="101"/>
      <c r="E27" s="101"/>
      <c r="F27" s="101"/>
      <c r="G27" s="101"/>
      <c r="H27" s="101"/>
      <c r="I27" s="101"/>
      <c r="J27" s="101"/>
      <c r="K27" s="102"/>
    </row>
    <row r="28" spans="3:11" ht="15.6" x14ac:dyDescent="0.3">
      <c r="C28" s="102"/>
      <c r="D28" s="101"/>
      <c r="E28" s="101"/>
      <c r="F28" s="101"/>
      <c r="G28" s="101"/>
      <c r="H28" s="101"/>
      <c r="I28" s="101"/>
      <c r="J28" s="101"/>
      <c r="K28" s="102"/>
    </row>
    <row r="29" spans="3:11" ht="15.6" x14ac:dyDescent="0.3">
      <c r="C29" s="102"/>
      <c r="D29" s="101"/>
      <c r="E29" s="101"/>
      <c r="F29" s="101"/>
      <c r="G29" s="101"/>
      <c r="H29" s="101"/>
      <c r="I29" s="101"/>
      <c r="J29" s="101"/>
      <c r="K29" s="102"/>
    </row>
    <row r="30" spans="3:11" ht="15.6" x14ac:dyDescent="0.3">
      <c r="C30" s="102"/>
      <c r="D30" s="101"/>
      <c r="E30" s="101"/>
      <c r="F30" s="101"/>
      <c r="G30" s="101"/>
      <c r="H30" s="101"/>
      <c r="I30" s="101"/>
      <c r="J30" s="101"/>
      <c r="K30" s="102"/>
    </row>
    <row r="31" spans="3:11" ht="15.6" x14ac:dyDescent="0.3">
      <c r="C31" s="102"/>
      <c r="D31" s="101"/>
      <c r="E31" s="101"/>
      <c r="F31" s="101"/>
      <c r="G31" s="101"/>
      <c r="H31" s="101"/>
      <c r="I31" s="101"/>
      <c r="J31" s="101"/>
      <c r="K31" s="102"/>
    </row>
    <row r="32" spans="3:11" ht="15.6" x14ac:dyDescent="0.3">
      <c r="C32" s="102"/>
      <c r="D32" s="101"/>
      <c r="E32" s="101"/>
      <c r="F32" s="101"/>
      <c r="G32" s="101"/>
      <c r="H32" s="101"/>
      <c r="I32" s="101"/>
      <c r="J32" s="101"/>
      <c r="K32" s="102"/>
    </row>
    <row r="33" spans="3:11" ht="15.6" x14ac:dyDescent="0.3">
      <c r="C33" s="102"/>
      <c r="D33" s="101"/>
      <c r="E33" s="101"/>
      <c r="F33" s="101"/>
      <c r="G33" s="101"/>
      <c r="H33" s="101"/>
      <c r="I33" s="101"/>
      <c r="J33" s="101"/>
      <c r="K33" s="102"/>
    </row>
    <row r="34" spans="3:11" ht="15.6" x14ac:dyDescent="0.3">
      <c r="C34" s="102"/>
      <c r="D34" s="101"/>
      <c r="E34" s="101"/>
      <c r="F34" s="101"/>
      <c r="G34" s="101"/>
      <c r="H34" s="101"/>
      <c r="I34" s="101"/>
      <c r="J34" s="101"/>
      <c r="K34" s="102"/>
    </row>
    <row r="35" spans="3:11" ht="15.6" x14ac:dyDescent="0.3">
      <c r="C35" s="102"/>
      <c r="D35" s="101"/>
      <c r="E35" s="101"/>
      <c r="F35" s="101"/>
      <c r="G35" s="101"/>
      <c r="H35" s="101"/>
      <c r="I35" s="101"/>
      <c r="J35" s="101"/>
      <c r="K35" s="102"/>
    </row>
    <row r="36" spans="3:11" ht="15.6" x14ac:dyDescent="0.3">
      <c r="C36" s="102"/>
      <c r="D36" s="101"/>
      <c r="E36" s="101"/>
      <c r="F36" s="101"/>
      <c r="G36" s="101"/>
      <c r="H36" s="101"/>
      <c r="I36" s="101"/>
      <c r="J36" s="101"/>
      <c r="K36" s="102"/>
    </row>
    <row r="37" spans="3:11" ht="15.6" x14ac:dyDescent="0.3">
      <c r="C37" s="102"/>
      <c r="D37" s="101"/>
      <c r="E37" s="101"/>
      <c r="F37" s="101"/>
      <c r="G37" s="101"/>
      <c r="H37" s="101"/>
      <c r="I37" s="101"/>
      <c r="J37" s="101"/>
      <c r="K37" s="102"/>
    </row>
    <row r="38" spans="3:11" ht="15.6" x14ac:dyDescent="0.3">
      <c r="C38" s="102"/>
      <c r="D38" s="101"/>
      <c r="E38" s="101"/>
      <c r="F38" s="101"/>
      <c r="G38" s="101"/>
      <c r="H38" s="101"/>
      <c r="I38" s="101"/>
      <c r="J38" s="101"/>
      <c r="K38" s="102"/>
    </row>
    <row r="39" spans="3:11" ht="15.6" x14ac:dyDescent="0.3">
      <c r="C39" s="102"/>
      <c r="D39" s="101"/>
      <c r="E39" s="101"/>
      <c r="F39" s="101"/>
      <c r="G39" s="101"/>
      <c r="H39" s="101"/>
      <c r="I39" s="101"/>
      <c r="J39" s="101"/>
      <c r="K39" s="102"/>
    </row>
    <row r="40" spans="3:11" ht="15.6" x14ac:dyDescent="0.3">
      <c r="C40" s="102"/>
      <c r="D40" s="101"/>
      <c r="E40" s="101"/>
      <c r="F40" s="101"/>
      <c r="G40" s="101"/>
      <c r="H40" s="101"/>
      <c r="I40" s="101"/>
      <c r="J40" s="101"/>
      <c r="K40" s="102"/>
    </row>
    <row r="41" spans="3:11" ht="15.6" x14ac:dyDescent="0.3">
      <c r="C41" s="102"/>
      <c r="D41" s="101"/>
      <c r="E41" s="101"/>
      <c r="F41" s="101"/>
      <c r="G41" s="101"/>
      <c r="H41" s="101"/>
      <c r="I41" s="101"/>
      <c r="J41" s="101"/>
      <c r="K41" s="102"/>
    </row>
    <row r="42" spans="3:11" ht="15.6" x14ac:dyDescent="0.3">
      <c r="C42" s="102"/>
      <c r="D42" s="101"/>
      <c r="E42" s="101"/>
      <c r="F42" s="101"/>
      <c r="G42" s="101"/>
      <c r="H42" s="101"/>
      <c r="I42" s="101"/>
      <c r="J42" s="101"/>
      <c r="K42" s="102"/>
    </row>
    <row r="43" spans="3:11" ht="15.6" x14ac:dyDescent="0.3">
      <c r="C43" s="102"/>
      <c r="D43" s="101"/>
      <c r="E43" s="101"/>
      <c r="F43" s="101"/>
      <c r="G43" s="101"/>
      <c r="H43" s="101"/>
      <c r="I43" s="101"/>
      <c r="J43" s="101"/>
      <c r="K43" s="102"/>
    </row>
    <row r="44" spans="3:11" ht="15.6" x14ac:dyDescent="0.3">
      <c r="C44" s="102"/>
      <c r="D44" s="101"/>
      <c r="E44" s="101"/>
      <c r="F44" s="101"/>
      <c r="G44" s="101"/>
      <c r="H44" s="101"/>
      <c r="I44" s="101"/>
      <c r="J44" s="101"/>
      <c r="K44" s="102"/>
    </row>
    <row r="45" spans="3:11" ht="15.6" x14ac:dyDescent="0.3">
      <c r="C45" s="102"/>
      <c r="D45" s="102"/>
      <c r="E45" s="102"/>
      <c r="F45" s="102"/>
      <c r="G45" s="102"/>
      <c r="H45" s="102"/>
      <c r="I45" s="102"/>
      <c r="J45" s="102"/>
      <c r="K45" s="102"/>
    </row>
    <row r="46" spans="3:11" x14ac:dyDescent="0.3">
      <c r="D46" s="13"/>
      <c r="E46" s="13"/>
      <c r="F46" s="13"/>
      <c r="G46" s="13"/>
      <c r="H46" s="13"/>
      <c r="I46" s="13"/>
      <c r="J46" s="13"/>
    </row>
  </sheetData>
  <mergeCells count="6">
    <mergeCell ref="E2:G2"/>
    <mergeCell ref="C23:K23"/>
    <mergeCell ref="C2:D2"/>
    <mergeCell ref="D4:E4"/>
    <mergeCell ref="G4:H4"/>
    <mergeCell ref="I4:J4"/>
  </mergeCells>
  <phoneticPr fontId="7" type="noConversion"/>
  <pageMargins left="0.7" right="0.7" top="0.75" bottom="0.75" header="0.3" footer="0.3"/>
  <drawing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52B9-B943-4C2F-92C2-C94BC028D3B5}">
  <sheetPr codeName="Sheet8"/>
  <dimension ref="B2:P44"/>
  <sheetViews>
    <sheetView showGridLines="0" workbookViewId="0">
      <selection activeCell="O44" sqref="O44"/>
    </sheetView>
  </sheetViews>
  <sheetFormatPr defaultRowHeight="14.4" x14ac:dyDescent="0.3"/>
  <cols>
    <col min="1" max="1" width="1.44140625" customWidth="1"/>
    <col min="2" max="2" width="29.5546875" customWidth="1"/>
    <col min="3" max="3" width="13.5546875" customWidth="1"/>
    <col min="4" max="4" width="15.44140625" customWidth="1"/>
    <col min="5" max="5" width="15.33203125" customWidth="1"/>
    <col min="6" max="6" width="14.109375" customWidth="1"/>
    <col min="7" max="7" width="14" customWidth="1"/>
    <col min="8" max="8" width="16" customWidth="1"/>
    <col min="9" max="9" width="15.21875" customWidth="1"/>
    <col min="10" max="11" width="11.33203125" customWidth="1"/>
    <col min="12" max="12" width="10.44140625" customWidth="1"/>
    <col min="13" max="13" width="10" customWidth="1"/>
    <col min="14" max="14" width="10.77734375" customWidth="1"/>
    <col min="15" max="15" width="12.33203125" customWidth="1"/>
    <col min="16" max="16" width="14.21875" customWidth="1"/>
  </cols>
  <sheetData>
    <row r="2" spans="2:15" x14ac:dyDescent="0.3">
      <c r="B2" s="113" t="s">
        <v>304</v>
      </c>
      <c r="C2" s="114" t="s">
        <v>305</v>
      </c>
      <c r="D2" s="115"/>
      <c r="E2" s="115" t="s">
        <v>217</v>
      </c>
      <c r="F2" s="115"/>
      <c r="G2" s="116"/>
    </row>
    <row r="4" spans="2:15" x14ac:dyDescent="0.3">
      <c r="B4" s="66" t="s">
        <v>70</v>
      </c>
      <c r="C4" s="67" t="s">
        <v>32</v>
      </c>
      <c r="D4" s="67" t="s">
        <v>33</v>
      </c>
      <c r="E4" s="67" t="s">
        <v>34</v>
      </c>
      <c r="F4" s="67" t="s">
        <v>35</v>
      </c>
      <c r="G4" s="67" t="s">
        <v>36</v>
      </c>
      <c r="H4" s="67" t="s">
        <v>37</v>
      </c>
      <c r="I4" s="67" t="s">
        <v>38</v>
      </c>
      <c r="J4" s="67" t="s">
        <v>39</v>
      </c>
      <c r="K4" s="67" t="s">
        <v>40</v>
      </c>
      <c r="L4" s="67" t="s">
        <v>41</v>
      </c>
      <c r="M4" s="67">
        <v>3500</v>
      </c>
      <c r="N4" s="67" t="s">
        <v>43</v>
      </c>
      <c r="O4" s="67" t="s">
        <v>78</v>
      </c>
    </row>
    <row r="5" spans="2:15" x14ac:dyDescent="0.3">
      <c r="B5" s="68" t="s">
        <v>96</v>
      </c>
      <c r="C5" s="246">
        <v>3500</v>
      </c>
      <c r="D5" s="246">
        <v>4000</v>
      </c>
      <c r="E5" s="246">
        <v>4500</v>
      </c>
      <c r="F5" s="246">
        <v>5500</v>
      </c>
      <c r="G5" s="246">
        <v>6500</v>
      </c>
      <c r="H5" s="246">
        <v>7500</v>
      </c>
      <c r="I5" s="246">
        <v>8500</v>
      </c>
      <c r="J5" s="246">
        <v>11000</v>
      </c>
      <c r="K5" s="246">
        <v>9500</v>
      </c>
      <c r="L5" s="246">
        <v>9600</v>
      </c>
      <c r="M5" s="246">
        <v>9700</v>
      </c>
      <c r="N5" s="246">
        <v>9900</v>
      </c>
      <c r="O5" s="247">
        <f>SUM(C5:N5)</f>
        <v>89700</v>
      </c>
    </row>
    <row r="6" spans="2:15" x14ac:dyDescent="0.3">
      <c r="B6" s="69" t="s">
        <v>290</v>
      </c>
      <c r="C6" s="246">
        <v>4400</v>
      </c>
      <c r="D6" s="246">
        <v>3800</v>
      </c>
      <c r="E6" s="246">
        <v>4500</v>
      </c>
      <c r="F6" s="246">
        <v>5500</v>
      </c>
      <c r="G6" s="246">
        <v>6000</v>
      </c>
      <c r="H6" s="246">
        <v>8500</v>
      </c>
      <c r="I6" s="246">
        <v>9500</v>
      </c>
      <c r="J6" s="246"/>
      <c r="K6" s="246"/>
      <c r="L6" s="246"/>
      <c r="M6" s="246"/>
      <c r="N6" s="246"/>
      <c r="O6" s="247">
        <f t="shared" ref="O6:O11" si="0">SUM(C6:N6)</f>
        <v>42200</v>
      </c>
    </row>
    <row r="7" spans="2:15" x14ac:dyDescent="0.3">
      <c r="B7" s="70" t="s">
        <v>291</v>
      </c>
      <c r="C7" s="246">
        <v>3100</v>
      </c>
      <c r="D7" s="246">
        <v>4150</v>
      </c>
      <c r="E7" s="246">
        <v>4700</v>
      </c>
      <c r="F7" s="246">
        <v>5600</v>
      </c>
      <c r="G7" s="246">
        <v>6900</v>
      </c>
      <c r="H7" s="246">
        <v>7700</v>
      </c>
      <c r="I7" s="246">
        <v>8600</v>
      </c>
      <c r="J7" s="246"/>
      <c r="K7" s="246"/>
      <c r="L7" s="246"/>
      <c r="M7" s="246"/>
      <c r="N7" s="246"/>
      <c r="O7" s="247">
        <f t="shared" si="0"/>
        <v>40750</v>
      </c>
    </row>
    <row r="8" spans="2:15" x14ac:dyDescent="0.3">
      <c r="B8" s="71" t="s">
        <v>292</v>
      </c>
      <c r="C8" s="246">
        <v>6000</v>
      </c>
      <c r="D8" s="246">
        <v>6500</v>
      </c>
      <c r="E8" s="246">
        <v>6700</v>
      </c>
      <c r="F8" s="246">
        <v>6900</v>
      </c>
      <c r="G8" s="246">
        <v>7200</v>
      </c>
      <c r="H8" s="246">
        <v>7800</v>
      </c>
      <c r="I8" s="246">
        <v>8900</v>
      </c>
      <c r="J8" s="246"/>
      <c r="K8" s="246"/>
      <c r="L8" s="246"/>
      <c r="M8" s="246"/>
      <c r="N8" s="246"/>
      <c r="O8" s="247">
        <f t="shared" si="0"/>
        <v>50000</v>
      </c>
    </row>
    <row r="9" spans="2:15" x14ac:dyDescent="0.3">
      <c r="B9" s="72" t="s">
        <v>293</v>
      </c>
      <c r="C9" s="246">
        <v>5700</v>
      </c>
      <c r="D9" s="246">
        <v>6250</v>
      </c>
      <c r="E9" s="246">
        <v>6400</v>
      </c>
      <c r="F9" s="246">
        <v>6500</v>
      </c>
      <c r="G9" s="246">
        <v>7000</v>
      </c>
      <c r="H9" s="246">
        <v>7550</v>
      </c>
      <c r="I9" s="246">
        <v>8600</v>
      </c>
      <c r="J9" s="246"/>
      <c r="K9" s="246"/>
      <c r="L9" s="246"/>
      <c r="M9" s="246"/>
      <c r="N9" s="246"/>
      <c r="O9" s="247">
        <f t="shared" si="0"/>
        <v>48000</v>
      </c>
    </row>
    <row r="10" spans="2:15" x14ac:dyDescent="0.3">
      <c r="B10" s="73" t="s">
        <v>294</v>
      </c>
      <c r="C10" s="246">
        <v>2700</v>
      </c>
      <c r="D10" s="246">
        <v>3100</v>
      </c>
      <c r="E10" s="246">
        <v>3500</v>
      </c>
      <c r="F10" s="246">
        <v>4300</v>
      </c>
      <c r="G10" s="246">
        <v>5100</v>
      </c>
      <c r="H10" s="246">
        <v>6500</v>
      </c>
      <c r="I10" s="246">
        <v>7500</v>
      </c>
      <c r="J10" s="246"/>
      <c r="K10" s="246"/>
      <c r="L10" s="246"/>
      <c r="M10" s="246"/>
      <c r="N10" s="246"/>
      <c r="O10" s="247">
        <f t="shared" si="0"/>
        <v>32700</v>
      </c>
    </row>
    <row r="11" spans="2:15" x14ac:dyDescent="0.3">
      <c r="B11" s="74" t="s">
        <v>295</v>
      </c>
      <c r="C11" s="246">
        <v>3600</v>
      </c>
      <c r="D11" s="246">
        <v>3950</v>
      </c>
      <c r="E11" s="246">
        <v>4100</v>
      </c>
      <c r="F11" s="246">
        <v>5500</v>
      </c>
      <c r="G11" s="246">
        <v>7100</v>
      </c>
      <c r="H11" s="246">
        <v>7450</v>
      </c>
      <c r="I11" s="246">
        <v>8800</v>
      </c>
      <c r="J11" s="246"/>
      <c r="K11" s="246"/>
      <c r="L11" s="246"/>
      <c r="M11" s="246"/>
      <c r="N11" s="246"/>
      <c r="O11" s="247">
        <f t="shared" si="0"/>
        <v>40500</v>
      </c>
    </row>
    <row r="32" spans="2:16" ht="37.799999999999997" customHeight="1" x14ac:dyDescent="0.3">
      <c r="B32" s="463" t="s">
        <v>215</v>
      </c>
      <c r="C32" s="465"/>
      <c r="D32" s="463" t="s">
        <v>79</v>
      </c>
      <c r="E32" s="464"/>
      <c r="F32" s="465"/>
      <c r="G32" s="463" t="s">
        <v>80</v>
      </c>
      <c r="H32" s="465"/>
      <c r="I32" s="463" t="s">
        <v>81</v>
      </c>
      <c r="J32" s="464"/>
      <c r="K32" s="465"/>
      <c r="L32" s="463" t="s">
        <v>82</v>
      </c>
      <c r="M32" s="465"/>
      <c r="N32" s="463" t="s">
        <v>83</v>
      </c>
      <c r="O32" s="464"/>
      <c r="P32" s="465"/>
    </row>
    <row r="33" spans="2:16" ht="25.2" x14ac:dyDescent="0.3">
      <c r="B33" s="52" t="s">
        <v>84</v>
      </c>
      <c r="C33" s="52" t="s">
        <v>85</v>
      </c>
      <c r="D33" s="53" t="s">
        <v>86</v>
      </c>
      <c r="E33" s="54" t="s">
        <v>87</v>
      </c>
      <c r="F33" s="52" t="s">
        <v>88</v>
      </c>
      <c r="G33" s="52" t="s">
        <v>89</v>
      </c>
      <c r="H33" s="52" t="s">
        <v>90</v>
      </c>
      <c r="I33" s="53" t="s">
        <v>86</v>
      </c>
      <c r="J33" s="54" t="s">
        <v>87</v>
      </c>
      <c r="K33" s="52" t="s">
        <v>88</v>
      </c>
      <c r="L33" s="55" t="s">
        <v>91</v>
      </c>
      <c r="M33" s="56" t="s">
        <v>92</v>
      </c>
      <c r="N33" s="57" t="s">
        <v>93</v>
      </c>
      <c r="O33" s="58" t="s">
        <v>94</v>
      </c>
      <c r="P33" s="59" t="s">
        <v>95</v>
      </c>
    </row>
    <row r="34" spans="2:16" x14ac:dyDescent="0.3">
      <c r="B34" s="60">
        <v>1</v>
      </c>
      <c r="C34" s="60" t="s">
        <v>267</v>
      </c>
      <c r="D34" s="241">
        <v>15860</v>
      </c>
      <c r="E34" s="241">
        <v>15650</v>
      </c>
      <c r="F34" s="241">
        <f t="shared" ref="F34:F43" si="1">(D34-E34)</f>
        <v>210</v>
      </c>
      <c r="G34" s="242">
        <v>9283</v>
      </c>
      <c r="H34" s="242">
        <f t="shared" ref="H34:H43" si="2">G34+E34</f>
        <v>24933</v>
      </c>
      <c r="I34" s="241">
        <v>35916</v>
      </c>
      <c r="J34" s="241">
        <v>37957</v>
      </c>
      <c r="K34" s="241">
        <f t="shared" ref="K34:K43" si="3">J34-I34</f>
        <v>2041</v>
      </c>
      <c r="L34" s="61">
        <f t="shared" ref="L34:L43" si="4">(J34-E34)/J34</f>
        <v>0.58769133493163317</v>
      </c>
      <c r="M34" s="61">
        <f t="shared" ref="M34:M43" si="5">(J34-H34)/J34</f>
        <v>0.34312511526200701</v>
      </c>
      <c r="N34" s="62" t="s">
        <v>33</v>
      </c>
      <c r="O34" s="242">
        <v>3613439</v>
      </c>
      <c r="P34" s="242">
        <v>3293202</v>
      </c>
    </row>
    <row r="35" spans="2:16" x14ac:dyDescent="0.3">
      <c r="B35" s="63">
        <v>2</v>
      </c>
      <c r="C35" s="60" t="s">
        <v>268</v>
      </c>
      <c r="D35" s="243">
        <v>13760</v>
      </c>
      <c r="E35" s="243">
        <v>13018</v>
      </c>
      <c r="F35" s="243">
        <f t="shared" si="1"/>
        <v>742</v>
      </c>
      <c r="G35" s="244">
        <v>6598</v>
      </c>
      <c r="H35" s="244">
        <f t="shared" si="2"/>
        <v>19616</v>
      </c>
      <c r="I35" s="243">
        <v>15534</v>
      </c>
      <c r="J35" s="243">
        <v>15900</v>
      </c>
      <c r="K35" s="243">
        <f t="shared" si="3"/>
        <v>366</v>
      </c>
      <c r="L35" s="64">
        <f t="shared" si="4"/>
        <v>0.18125786163522012</v>
      </c>
      <c r="M35" s="64">
        <f t="shared" si="5"/>
        <v>-0.23371069182389936</v>
      </c>
      <c r="N35" s="62" t="s">
        <v>34</v>
      </c>
      <c r="O35" s="244">
        <v>3508776</v>
      </c>
      <c r="P35" s="244">
        <v>3441854</v>
      </c>
    </row>
    <row r="36" spans="2:16" x14ac:dyDescent="0.3">
      <c r="B36" s="60">
        <v>3</v>
      </c>
      <c r="C36" s="60" t="s">
        <v>269</v>
      </c>
      <c r="D36" s="241">
        <v>14940</v>
      </c>
      <c r="E36" s="241">
        <v>13259</v>
      </c>
      <c r="F36" s="241">
        <f t="shared" si="1"/>
        <v>1681</v>
      </c>
      <c r="G36" s="242">
        <v>7527</v>
      </c>
      <c r="H36" s="242">
        <f t="shared" si="2"/>
        <v>20786</v>
      </c>
      <c r="I36" s="241">
        <v>20719</v>
      </c>
      <c r="J36" s="241">
        <v>22784</v>
      </c>
      <c r="K36" s="241">
        <f t="shared" si="3"/>
        <v>2065</v>
      </c>
      <c r="L36" s="61">
        <f t="shared" si="4"/>
        <v>0.4180565308988764</v>
      </c>
      <c r="M36" s="61">
        <f t="shared" si="5"/>
        <v>8.7693117977528087E-2</v>
      </c>
      <c r="N36" s="62" t="s">
        <v>35</v>
      </c>
      <c r="O36" s="242">
        <v>3719457</v>
      </c>
      <c r="P36" s="242">
        <v>3531844</v>
      </c>
    </row>
    <row r="37" spans="2:16" x14ac:dyDescent="0.3">
      <c r="B37" s="63">
        <v>4</v>
      </c>
      <c r="C37" s="60" t="s">
        <v>270</v>
      </c>
      <c r="D37" s="243">
        <v>12653</v>
      </c>
      <c r="E37" s="243">
        <v>11368</v>
      </c>
      <c r="F37" s="243">
        <f t="shared" si="1"/>
        <v>1285</v>
      </c>
      <c r="G37" s="244">
        <v>9592</v>
      </c>
      <c r="H37" s="244">
        <f t="shared" si="2"/>
        <v>20960</v>
      </c>
      <c r="I37" s="243">
        <v>20242</v>
      </c>
      <c r="J37" s="243">
        <v>26000</v>
      </c>
      <c r="K37" s="243">
        <f t="shared" si="3"/>
        <v>5758</v>
      </c>
      <c r="L37" s="64">
        <f t="shared" si="4"/>
        <v>0.5627692307692308</v>
      </c>
      <c r="M37" s="64">
        <f t="shared" si="5"/>
        <v>0.19384615384615383</v>
      </c>
      <c r="N37" s="62" t="s">
        <v>36</v>
      </c>
      <c r="O37" s="244">
        <v>3310212</v>
      </c>
      <c r="P37" s="244">
        <v>3354051</v>
      </c>
    </row>
    <row r="38" spans="2:16" x14ac:dyDescent="0.3">
      <c r="B38" s="60">
        <v>5</v>
      </c>
      <c r="C38" s="60" t="s">
        <v>271</v>
      </c>
      <c r="D38" s="241">
        <v>9478</v>
      </c>
      <c r="E38" s="241">
        <v>9003</v>
      </c>
      <c r="F38" s="241">
        <f t="shared" si="1"/>
        <v>475</v>
      </c>
      <c r="G38" s="242">
        <v>8392</v>
      </c>
      <c r="H38" s="242">
        <f t="shared" si="2"/>
        <v>17395</v>
      </c>
      <c r="I38" s="241">
        <v>15177</v>
      </c>
      <c r="J38" s="241">
        <v>17581</v>
      </c>
      <c r="K38" s="241">
        <f t="shared" si="3"/>
        <v>2404</v>
      </c>
      <c r="L38" s="61">
        <f t="shared" si="4"/>
        <v>0.48791308799271943</v>
      </c>
      <c r="M38" s="61">
        <f t="shared" si="5"/>
        <v>1.0579602980490302E-2</v>
      </c>
      <c r="N38" s="62" t="s">
        <v>37</v>
      </c>
      <c r="O38" s="242">
        <v>3945202</v>
      </c>
      <c r="P38" s="242">
        <v>3476155</v>
      </c>
    </row>
    <row r="39" spans="2:16" x14ac:dyDescent="0.3">
      <c r="B39" s="63">
        <v>6</v>
      </c>
      <c r="C39" s="60" t="s">
        <v>272</v>
      </c>
      <c r="D39" s="243">
        <v>11600</v>
      </c>
      <c r="E39" s="243">
        <v>10900</v>
      </c>
      <c r="F39" s="243">
        <f t="shared" si="1"/>
        <v>700</v>
      </c>
      <c r="G39" s="244">
        <v>6490</v>
      </c>
      <c r="H39" s="244">
        <f t="shared" si="2"/>
        <v>17390</v>
      </c>
      <c r="I39" s="243">
        <v>11263</v>
      </c>
      <c r="J39" s="243">
        <v>15766</v>
      </c>
      <c r="K39" s="243">
        <f t="shared" si="3"/>
        <v>4503</v>
      </c>
      <c r="L39" s="64">
        <f t="shared" si="4"/>
        <v>0.30863884308004569</v>
      </c>
      <c r="M39" s="64">
        <f t="shared" si="5"/>
        <v>-0.10300646961816567</v>
      </c>
      <c r="N39" s="62" t="s">
        <v>38</v>
      </c>
      <c r="O39" s="244">
        <v>3938152</v>
      </c>
      <c r="P39" s="244">
        <v>3538468</v>
      </c>
    </row>
    <row r="40" spans="2:16" x14ac:dyDescent="0.3">
      <c r="B40" s="60">
        <v>7</v>
      </c>
      <c r="C40" s="60" t="s">
        <v>273</v>
      </c>
      <c r="D40" s="241">
        <v>13785</v>
      </c>
      <c r="E40" s="241">
        <v>12550</v>
      </c>
      <c r="F40" s="241">
        <f t="shared" si="1"/>
        <v>1235</v>
      </c>
      <c r="G40" s="242">
        <v>6582</v>
      </c>
      <c r="H40" s="242">
        <f t="shared" si="2"/>
        <v>19132</v>
      </c>
      <c r="I40" s="241">
        <v>18852</v>
      </c>
      <c r="J40" s="241">
        <v>20375</v>
      </c>
      <c r="K40" s="241">
        <f t="shared" si="3"/>
        <v>1523</v>
      </c>
      <c r="L40" s="61">
        <f t="shared" si="4"/>
        <v>0.38404907975460123</v>
      </c>
      <c r="M40" s="61">
        <f t="shared" si="5"/>
        <v>6.1006134969325151E-2</v>
      </c>
      <c r="N40" s="62" t="s">
        <v>39</v>
      </c>
      <c r="O40" s="242">
        <v>3733706</v>
      </c>
      <c r="P40" s="242">
        <v>3727037</v>
      </c>
    </row>
    <row r="41" spans="2:16" x14ac:dyDescent="0.3">
      <c r="B41" s="63">
        <v>8</v>
      </c>
      <c r="C41" s="60" t="s">
        <v>274</v>
      </c>
      <c r="D41" s="243">
        <v>28283</v>
      </c>
      <c r="E41" s="243">
        <v>26300</v>
      </c>
      <c r="F41" s="243">
        <f t="shared" si="1"/>
        <v>1983</v>
      </c>
      <c r="G41" s="244">
        <v>7606</v>
      </c>
      <c r="H41" s="244">
        <f t="shared" si="2"/>
        <v>33906</v>
      </c>
      <c r="I41" s="243">
        <v>38380</v>
      </c>
      <c r="J41" s="243">
        <v>39983</v>
      </c>
      <c r="K41" s="243">
        <f t="shared" si="3"/>
        <v>1603</v>
      </c>
      <c r="L41" s="64">
        <f t="shared" si="4"/>
        <v>0.34222044368856763</v>
      </c>
      <c r="M41" s="64">
        <f t="shared" si="5"/>
        <v>0.1519895955781207</v>
      </c>
      <c r="N41" s="62" t="s">
        <v>40</v>
      </c>
      <c r="O41" s="244">
        <v>3526698</v>
      </c>
      <c r="P41" s="244">
        <v>3425405</v>
      </c>
    </row>
    <row r="42" spans="2:16" x14ac:dyDescent="0.3">
      <c r="B42" s="60">
        <v>9</v>
      </c>
      <c r="C42" s="60" t="s">
        <v>275</v>
      </c>
      <c r="D42" s="241">
        <v>15438</v>
      </c>
      <c r="E42" s="241">
        <v>14400</v>
      </c>
      <c r="F42" s="241">
        <f t="shared" si="1"/>
        <v>1038</v>
      </c>
      <c r="G42" s="242">
        <v>5667</v>
      </c>
      <c r="H42" s="242">
        <f t="shared" si="2"/>
        <v>20067</v>
      </c>
      <c r="I42" s="241">
        <v>9731</v>
      </c>
      <c r="J42" s="241">
        <v>14240</v>
      </c>
      <c r="K42" s="241">
        <f t="shared" si="3"/>
        <v>4509</v>
      </c>
      <c r="L42" s="61">
        <f t="shared" si="4"/>
        <v>-1.1235955056179775E-2</v>
      </c>
      <c r="M42" s="61">
        <f t="shared" si="5"/>
        <v>-0.40919943820224719</v>
      </c>
      <c r="N42" s="62" t="s">
        <v>41</v>
      </c>
      <c r="O42" s="242">
        <v>3632971</v>
      </c>
      <c r="P42" s="242">
        <v>3734041</v>
      </c>
    </row>
    <row r="43" spans="2:16" x14ac:dyDescent="0.3">
      <c r="B43" s="63">
        <v>10</v>
      </c>
      <c r="C43" s="60" t="s">
        <v>276</v>
      </c>
      <c r="D43" s="243">
        <v>9755</v>
      </c>
      <c r="E43" s="243">
        <v>9187</v>
      </c>
      <c r="F43" s="243">
        <f t="shared" si="1"/>
        <v>568</v>
      </c>
      <c r="G43" s="244">
        <v>6347</v>
      </c>
      <c r="H43" s="244">
        <f t="shared" si="2"/>
        <v>15534</v>
      </c>
      <c r="I43" s="243">
        <v>9410</v>
      </c>
      <c r="J43" s="243">
        <v>12610</v>
      </c>
      <c r="K43" s="243">
        <f t="shared" si="3"/>
        <v>3200</v>
      </c>
      <c r="L43" s="64">
        <f t="shared" si="4"/>
        <v>0.27145122918318793</v>
      </c>
      <c r="M43" s="64">
        <f t="shared" si="5"/>
        <v>-0.23187946074544014</v>
      </c>
      <c r="N43" s="62" t="s">
        <v>42</v>
      </c>
      <c r="O43" s="244">
        <v>3206487</v>
      </c>
      <c r="P43" s="244">
        <v>3677074</v>
      </c>
    </row>
    <row r="44" spans="2:16" ht="25.2" customHeight="1" x14ac:dyDescent="0.3">
      <c r="B44" s="51"/>
      <c r="C44" s="51"/>
      <c r="D44" s="245">
        <f t="shared" ref="D44:K44" si="6">SUM(D34:D43)</f>
        <v>145552</v>
      </c>
      <c r="E44" s="245">
        <f t="shared" si="6"/>
        <v>135635</v>
      </c>
      <c r="F44" s="245">
        <f t="shared" si="6"/>
        <v>9917</v>
      </c>
      <c r="G44" s="245">
        <f t="shared" si="6"/>
        <v>74084</v>
      </c>
      <c r="H44" s="245">
        <f t="shared" si="6"/>
        <v>209719</v>
      </c>
      <c r="I44" s="245">
        <f t="shared" si="6"/>
        <v>195224</v>
      </c>
      <c r="J44" s="245">
        <f t="shared" si="6"/>
        <v>223196</v>
      </c>
      <c r="K44" s="245">
        <f t="shared" si="6"/>
        <v>27972</v>
      </c>
      <c r="L44" s="65">
        <f>SUM(L34:L43)/10</f>
        <v>0.3532811686877903</v>
      </c>
      <c r="M44" s="65">
        <f>SUM(M34:M43)/10</f>
        <v>-1.2955633977612725E-2</v>
      </c>
      <c r="N44" s="51"/>
      <c r="O44" s="51"/>
      <c r="P44" s="51"/>
    </row>
  </sheetData>
  <mergeCells count="6">
    <mergeCell ref="N32:P32"/>
    <mergeCell ref="G32:H32"/>
    <mergeCell ref="D32:F32"/>
    <mergeCell ref="B32:C32"/>
    <mergeCell ref="I32:K32"/>
    <mergeCell ref="L32:M3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5689-12ED-42B0-9136-DCE511C40693}">
  <sheetPr codeName="Sheet11"/>
  <dimension ref="A1:AF43"/>
  <sheetViews>
    <sheetView showGridLines="0" workbookViewId="0">
      <selection activeCell="J2" sqref="J2"/>
    </sheetView>
  </sheetViews>
  <sheetFormatPr defaultRowHeight="14.4" x14ac:dyDescent="0.3"/>
  <cols>
    <col min="1" max="1" width="1.77734375" style="119" customWidth="1"/>
    <col min="12" max="12" width="10.33203125" customWidth="1"/>
    <col min="13" max="13" width="2.44140625" customWidth="1"/>
    <col min="24" max="24" width="10.33203125" customWidth="1"/>
    <col min="25" max="25" width="3.6640625" customWidth="1"/>
  </cols>
  <sheetData>
    <row r="1" spans="1:32" s="119" customFormat="1" ht="10.8" customHeight="1" x14ac:dyDescent="0.3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8"/>
      <c r="AF1" s="118"/>
    </row>
    <row r="2" spans="1:32" s="119" customFormat="1" ht="13.8" customHeight="1" x14ac:dyDescent="0.3">
      <c r="A2" s="117"/>
      <c r="B2" s="125" t="s">
        <v>296</v>
      </c>
      <c r="C2" s="126"/>
      <c r="D2" s="126"/>
      <c r="E2" s="126"/>
      <c r="F2" s="126"/>
      <c r="G2" s="127"/>
      <c r="H2" s="12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8"/>
      <c r="AF2" s="118"/>
    </row>
    <row r="3" spans="1:32" s="119" customFormat="1" ht="10.199999999999999" customHeight="1" x14ac:dyDescent="0.3">
      <c r="A3" s="117"/>
      <c r="B3" s="467"/>
      <c r="C3" s="467"/>
      <c r="D3" s="467"/>
      <c r="E3" s="467"/>
      <c r="F3" s="467"/>
      <c r="G3" s="46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8"/>
      <c r="AF3" s="118"/>
    </row>
    <row r="4" spans="1:32" s="119" customFormat="1" ht="21" customHeight="1" x14ac:dyDescent="0.3">
      <c r="A4" s="117"/>
      <c r="B4" s="466" t="str">
        <f>"  "&amp;TimeData!B3</f>
        <v xml:space="preserve">  Location 1</v>
      </c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121"/>
      <c r="N4" s="466" t="str">
        <f>"  "&amp;TimeData!B6</f>
        <v xml:space="preserve">  Location 2</v>
      </c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117"/>
      <c r="Z4" s="117"/>
      <c r="AA4" s="117"/>
      <c r="AB4" s="117"/>
      <c r="AC4" s="117"/>
      <c r="AD4" s="117"/>
      <c r="AE4" s="118"/>
      <c r="AF4" s="118"/>
    </row>
    <row r="5" spans="1:32" s="119" customFormat="1" ht="21" customHeight="1" x14ac:dyDescent="0.3">
      <c r="A5" s="117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1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17"/>
      <c r="Z5" s="117"/>
      <c r="AA5" s="117"/>
      <c r="AB5" s="117"/>
      <c r="AC5" s="117"/>
      <c r="AD5" s="117"/>
      <c r="AE5" s="118"/>
      <c r="AF5" s="118"/>
    </row>
    <row r="6" spans="1:32" s="119" customFormat="1" ht="21" customHeight="1" x14ac:dyDescent="0.3">
      <c r="A6" s="117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1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17"/>
      <c r="Z6" s="117"/>
      <c r="AA6" s="117"/>
      <c r="AB6" s="117"/>
      <c r="AC6" s="117"/>
      <c r="AD6" s="117"/>
      <c r="AE6" s="118"/>
      <c r="AF6" s="118"/>
    </row>
    <row r="7" spans="1:32" s="119" customFormat="1" ht="21" customHeight="1" x14ac:dyDescent="0.3">
      <c r="A7" s="117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1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17"/>
      <c r="Z7" s="117"/>
      <c r="AA7" s="117"/>
      <c r="AB7" s="117"/>
      <c r="AC7" s="117"/>
      <c r="AD7" s="117"/>
      <c r="AE7" s="118"/>
      <c r="AF7" s="118"/>
    </row>
    <row r="8" spans="1:32" s="119" customFormat="1" ht="21" customHeight="1" x14ac:dyDescent="0.3">
      <c r="A8" s="117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1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17"/>
      <c r="Z8" s="117"/>
      <c r="AA8" s="117"/>
      <c r="AB8" s="117"/>
      <c r="AC8" s="117"/>
      <c r="AD8" s="117"/>
      <c r="AE8" s="118"/>
      <c r="AF8" s="118"/>
    </row>
    <row r="9" spans="1:32" s="119" customFormat="1" ht="21" customHeight="1" x14ac:dyDescent="0.3">
      <c r="A9" s="117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1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17"/>
      <c r="Z9" s="117"/>
      <c r="AA9" s="117"/>
      <c r="AB9" s="117"/>
      <c r="AC9" s="117"/>
      <c r="AD9" s="117"/>
      <c r="AE9" s="118"/>
      <c r="AF9" s="118"/>
    </row>
    <row r="10" spans="1:32" s="119" customFormat="1" ht="21" customHeight="1" x14ac:dyDescent="0.3">
      <c r="A10" s="117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1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17"/>
      <c r="Z10" s="117"/>
      <c r="AA10" s="117"/>
      <c r="AB10" s="117"/>
      <c r="AC10" s="117"/>
      <c r="AD10" s="117"/>
      <c r="AE10" s="118"/>
      <c r="AF10" s="118"/>
    </row>
    <row r="11" spans="1:32" s="119" customFormat="1" ht="21" customHeight="1" x14ac:dyDescent="0.3">
      <c r="A11" s="117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1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17"/>
      <c r="Z11" s="117"/>
      <c r="AA11" s="117"/>
      <c r="AB11" s="117"/>
      <c r="AC11" s="117"/>
      <c r="AD11" s="117"/>
      <c r="AE11" s="118"/>
      <c r="AF11" s="118"/>
    </row>
    <row r="12" spans="1:32" s="119" customFormat="1" ht="21" customHeight="1" x14ac:dyDescent="0.3">
      <c r="A12" s="117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1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17"/>
      <c r="Z12" s="117"/>
      <c r="AA12" s="117"/>
      <c r="AB12" s="117"/>
      <c r="AC12" s="117"/>
      <c r="AD12" s="117"/>
      <c r="AE12" s="118"/>
      <c r="AF12" s="118"/>
    </row>
    <row r="13" spans="1:32" s="119" customFormat="1" ht="21" customHeight="1" x14ac:dyDescent="0.3">
      <c r="A13" s="117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1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17"/>
      <c r="Z13" s="117"/>
      <c r="AA13" s="117"/>
      <c r="AB13" s="117"/>
      <c r="AC13" s="117"/>
      <c r="AD13" s="117"/>
      <c r="AE13" s="118"/>
      <c r="AF13" s="118"/>
    </row>
    <row r="14" spans="1:32" s="119" customFormat="1" ht="13.8" customHeight="1" x14ac:dyDescent="0.3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8"/>
      <c r="AF14" s="118"/>
    </row>
    <row r="15" spans="1:32" s="119" customFormat="1" ht="21" customHeight="1" x14ac:dyDescent="0.3">
      <c r="A15" s="117"/>
      <c r="B15" s="466" t="str">
        <f>"  "&amp;TimeData!B9</f>
        <v xml:space="preserve">  Location 3</v>
      </c>
      <c r="C15" s="466"/>
      <c r="D15" s="466"/>
      <c r="E15" s="466"/>
      <c r="F15" s="466"/>
      <c r="G15" s="466"/>
      <c r="H15" s="466"/>
      <c r="I15" s="466"/>
      <c r="J15" s="466"/>
      <c r="K15" s="466"/>
      <c r="L15" s="466"/>
      <c r="M15" s="117"/>
      <c r="N15" s="466" t="str">
        <f>"  "&amp;TimeData!B12</f>
        <v xml:space="preserve">  Location 4</v>
      </c>
      <c r="O15" s="466"/>
      <c r="P15" s="466"/>
      <c r="Q15" s="466"/>
      <c r="R15" s="466"/>
      <c r="S15" s="466"/>
      <c r="T15" s="466"/>
      <c r="U15" s="466"/>
      <c r="V15" s="466"/>
      <c r="W15" s="466"/>
      <c r="X15" s="466"/>
      <c r="Y15" s="117"/>
      <c r="Z15" s="117"/>
      <c r="AA15" s="117"/>
      <c r="AB15" s="117"/>
      <c r="AC15" s="117"/>
      <c r="AD15" s="117"/>
      <c r="AE15" s="118"/>
      <c r="AF15" s="118"/>
    </row>
    <row r="16" spans="1:32" s="119" customFormat="1" ht="21" customHeight="1" x14ac:dyDescent="0.3">
      <c r="A16" s="117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17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17"/>
      <c r="Z16" s="117"/>
      <c r="AA16" s="117"/>
      <c r="AB16" s="117"/>
      <c r="AC16" s="117"/>
      <c r="AD16" s="117"/>
      <c r="AE16" s="118"/>
      <c r="AF16" s="118"/>
    </row>
    <row r="17" spans="1:32" s="119" customFormat="1" ht="21" customHeight="1" x14ac:dyDescent="0.3">
      <c r="A17" s="117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17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17"/>
      <c r="Z17" s="117"/>
      <c r="AA17" s="117"/>
      <c r="AB17" s="117"/>
      <c r="AC17" s="117"/>
      <c r="AD17" s="117"/>
      <c r="AE17" s="118"/>
      <c r="AF17" s="118"/>
    </row>
    <row r="18" spans="1:32" s="119" customFormat="1" ht="21" customHeight="1" x14ac:dyDescent="0.3">
      <c r="A18" s="117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17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17"/>
      <c r="Z18" s="117"/>
      <c r="AA18" s="117"/>
      <c r="AB18" s="117"/>
      <c r="AC18" s="117"/>
      <c r="AD18" s="117"/>
      <c r="AE18" s="118"/>
      <c r="AF18" s="118"/>
    </row>
    <row r="19" spans="1:32" s="119" customFormat="1" ht="21" customHeight="1" x14ac:dyDescent="0.3">
      <c r="A19" s="117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17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17"/>
      <c r="Z19" s="117"/>
      <c r="AA19" s="117"/>
      <c r="AB19" s="117"/>
      <c r="AC19" s="117"/>
      <c r="AD19" s="117"/>
      <c r="AE19" s="118"/>
      <c r="AF19" s="118"/>
    </row>
    <row r="20" spans="1:32" s="119" customFormat="1" ht="21" customHeight="1" x14ac:dyDescent="0.3">
      <c r="A20" s="117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17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17"/>
      <c r="Z20" s="117"/>
      <c r="AA20" s="117"/>
      <c r="AB20" s="117"/>
      <c r="AC20" s="117"/>
      <c r="AD20" s="117"/>
      <c r="AE20" s="118"/>
      <c r="AF20" s="118"/>
    </row>
    <row r="21" spans="1:32" s="119" customFormat="1" ht="21" customHeight="1" x14ac:dyDescent="0.3">
      <c r="A21" s="117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17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17"/>
      <c r="Z21" s="117"/>
      <c r="AA21" s="117"/>
      <c r="AB21" s="117"/>
      <c r="AC21" s="117"/>
      <c r="AD21" s="117"/>
      <c r="AE21" s="118"/>
      <c r="AF21" s="118"/>
    </row>
    <row r="22" spans="1:32" s="119" customFormat="1" ht="21" customHeight="1" x14ac:dyDescent="0.3">
      <c r="A22" s="117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17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17"/>
      <c r="Z22" s="117"/>
      <c r="AA22" s="117"/>
      <c r="AB22" s="117"/>
      <c r="AC22" s="117"/>
      <c r="AD22" s="117"/>
      <c r="AE22" s="118"/>
      <c r="AF22" s="118"/>
    </row>
    <row r="23" spans="1:32" s="119" customFormat="1" ht="21" customHeight="1" x14ac:dyDescent="0.3">
      <c r="A23" s="117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17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17"/>
      <c r="Z23" s="117"/>
      <c r="AA23" s="117"/>
      <c r="AB23" s="117"/>
      <c r="AC23" s="117"/>
      <c r="AD23" s="117"/>
      <c r="AE23" s="118"/>
      <c r="AF23" s="118"/>
    </row>
    <row r="24" spans="1:32" s="119" customFormat="1" ht="21" customHeight="1" x14ac:dyDescent="0.3">
      <c r="A24" s="117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17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17"/>
      <c r="Z24" s="117"/>
      <c r="AA24" s="117"/>
      <c r="AB24" s="117"/>
      <c r="AC24" s="117"/>
      <c r="AD24" s="117"/>
      <c r="AE24" s="118"/>
      <c r="AF24" s="118"/>
    </row>
    <row r="25" spans="1:32" s="119" customFormat="1" ht="13.8" customHeight="1" x14ac:dyDescent="0.3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8"/>
      <c r="AF25" s="118"/>
    </row>
    <row r="26" spans="1:32" s="119" customFormat="1" ht="21" customHeight="1" x14ac:dyDescent="0.3">
      <c r="A26" s="117"/>
      <c r="B26" s="120" t="str">
        <f>"  "&amp;TimeData!B15</f>
        <v xml:space="preserve">  Location 5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17"/>
      <c r="N26" s="466" t="str">
        <f>"  "&amp;TimeData!B18</f>
        <v xml:space="preserve">  Location 6</v>
      </c>
      <c r="O26" s="466"/>
      <c r="P26" s="466"/>
      <c r="Q26" s="466"/>
      <c r="R26" s="466"/>
      <c r="S26" s="466"/>
      <c r="T26" s="466"/>
      <c r="U26" s="466"/>
      <c r="V26" s="466"/>
      <c r="W26" s="466"/>
      <c r="X26" s="466"/>
      <c r="Y26" s="117"/>
      <c r="Z26" s="117"/>
      <c r="AA26" s="117"/>
      <c r="AB26" s="117"/>
      <c r="AC26" s="117"/>
      <c r="AD26" s="117"/>
      <c r="AE26" s="118"/>
      <c r="AF26" s="118"/>
    </row>
    <row r="27" spans="1:32" s="119" customFormat="1" ht="21" customHeight="1" x14ac:dyDescent="0.3">
      <c r="A27" s="117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17"/>
      <c r="Z27" s="117"/>
      <c r="AA27" s="117"/>
      <c r="AB27" s="117"/>
      <c r="AC27" s="117"/>
      <c r="AD27" s="117"/>
      <c r="AE27" s="118"/>
      <c r="AF27" s="118"/>
    </row>
    <row r="28" spans="1:32" s="119" customFormat="1" ht="21" customHeight="1" x14ac:dyDescent="0.3">
      <c r="A28" s="117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17"/>
      <c r="Z28" s="117"/>
      <c r="AA28" s="117"/>
      <c r="AB28" s="117"/>
      <c r="AC28" s="117"/>
      <c r="AD28" s="117"/>
      <c r="AE28" s="118"/>
      <c r="AF28" s="118"/>
    </row>
    <row r="29" spans="1:32" s="119" customFormat="1" ht="21" customHeight="1" x14ac:dyDescent="0.3">
      <c r="A29" s="117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7"/>
      <c r="Z29" s="117"/>
      <c r="AA29" s="117"/>
      <c r="AB29" s="117"/>
      <c r="AC29" s="117"/>
      <c r="AD29" s="117"/>
      <c r="AE29" s="118"/>
      <c r="AF29" s="118"/>
    </row>
    <row r="30" spans="1:32" s="119" customFormat="1" ht="21" customHeight="1" x14ac:dyDescent="0.3">
      <c r="A30" s="117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17"/>
      <c r="Z30" s="117"/>
      <c r="AA30" s="117"/>
      <c r="AB30" s="117"/>
      <c r="AC30" s="117"/>
      <c r="AD30" s="117"/>
      <c r="AE30" s="118"/>
      <c r="AF30" s="118"/>
    </row>
    <row r="31" spans="1:32" s="119" customFormat="1" ht="21" customHeight="1" x14ac:dyDescent="0.3">
      <c r="A31" s="117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17"/>
      <c r="Z31" s="117"/>
      <c r="AA31" s="117"/>
      <c r="AB31" s="117"/>
      <c r="AC31" s="117"/>
      <c r="AD31" s="117"/>
      <c r="AE31" s="118"/>
      <c r="AF31" s="118"/>
    </row>
    <row r="32" spans="1:32" s="119" customFormat="1" ht="21" customHeight="1" x14ac:dyDescent="0.3">
      <c r="A32" s="117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7"/>
      <c r="Z32" s="117"/>
      <c r="AA32" s="117"/>
      <c r="AB32" s="117"/>
      <c r="AC32" s="117"/>
      <c r="AD32" s="117"/>
      <c r="AE32" s="118"/>
      <c r="AF32" s="118"/>
    </row>
    <row r="33" spans="1:32" s="119" customFormat="1" ht="21" customHeight="1" x14ac:dyDescent="0.3">
      <c r="A33" s="117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7"/>
      <c r="Z33" s="117"/>
      <c r="AA33" s="117"/>
      <c r="AB33" s="117"/>
      <c r="AC33" s="117"/>
      <c r="AD33" s="117"/>
      <c r="AE33" s="118"/>
      <c r="AF33" s="118"/>
    </row>
    <row r="34" spans="1:32" s="119" customFormat="1" ht="21" customHeight="1" x14ac:dyDescent="0.3">
      <c r="A34" s="117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17"/>
      <c r="Z34" s="117"/>
      <c r="AA34" s="117"/>
      <c r="AB34" s="117"/>
      <c r="AC34" s="117"/>
      <c r="AD34" s="117"/>
      <c r="AE34" s="118"/>
      <c r="AF34" s="118"/>
    </row>
    <row r="35" spans="1:32" s="119" customFormat="1" ht="21" customHeight="1" x14ac:dyDescent="0.3">
      <c r="A35" s="117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17"/>
      <c r="Z35" s="117"/>
      <c r="AA35" s="117"/>
      <c r="AB35" s="117"/>
      <c r="AC35" s="117"/>
      <c r="AD35" s="117"/>
      <c r="AE35" s="118"/>
      <c r="AF35" s="118"/>
    </row>
    <row r="36" spans="1:32" s="119" customFormat="1" ht="13.8" customHeight="1" x14ac:dyDescent="0.3">
      <c r="A36" s="117"/>
      <c r="B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8"/>
      <c r="AF36" s="118"/>
    </row>
    <row r="37" spans="1:32" s="119" customFormat="1" ht="13.8" customHeight="1" x14ac:dyDescent="0.3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8"/>
      <c r="AF37" s="118"/>
    </row>
    <row r="38" spans="1:32" s="119" customFormat="1" ht="21" customHeight="1" x14ac:dyDescent="0.3"/>
    <row r="39" spans="1:32" s="119" customFormat="1" ht="21" customHeight="1" x14ac:dyDescent="0.3"/>
    <row r="40" spans="1:32" s="119" customFormat="1" ht="21" customHeight="1" x14ac:dyDescent="0.3"/>
    <row r="41" spans="1:32" s="119" customFormat="1" ht="21" customHeight="1" x14ac:dyDescent="0.3"/>
    <row r="42" spans="1:32" s="119" customFormat="1" ht="21" customHeight="1" x14ac:dyDescent="0.3"/>
    <row r="43" spans="1:32" s="119" customFormat="1" ht="21" customHeight="1" x14ac:dyDescent="0.3"/>
  </sheetData>
  <mergeCells count="6">
    <mergeCell ref="N26:X26"/>
    <mergeCell ref="B3:G3"/>
    <mergeCell ref="B4:L4"/>
    <mergeCell ref="N4:X4"/>
    <mergeCell ref="B15:L15"/>
    <mergeCell ref="N15:X15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A02F-7C9D-4C8C-908C-229EB65D8EF8}">
  <sheetPr codeName="Sheet12"/>
  <dimension ref="B2:Q20"/>
  <sheetViews>
    <sheetView showGridLines="0" topLeftCell="C1" workbookViewId="0">
      <selection activeCell="E26" sqref="E26"/>
    </sheetView>
  </sheetViews>
  <sheetFormatPr defaultRowHeight="14.4" x14ac:dyDescent="0.3"/>
  <cols>
    <col min="1" max="1" width="1.77734375" style="119" customWidth="1"/>
    <col min="2" max="2" width="28.5546875" style="119" customWidth="1"/>
    <col min="3" max="3" width="13.109375" style="119" bestFit="1" customWidth="1"/>
    <col min="4" max="4" width="16.77734375" style="119" customWidth="1"/>
    <col min="5" max="16" width="11" style="119" customWidth="1"/>
    <col min="17" max="16384" width="8.88671875" style="119"/>
  </cols>
  <sheetData>
    <row r="2" spans="2:17" x14ac:dyDescent="0.3">
      <c r="B2" s="128" t="s">
        <v>110</v>
      </c>
      <c r="C2" s="128" t="s">
        <v>111</v>
      </c>
      <c r="D2" s="250" t="s">
        <v>267</v>
      </c>
      <c r="E2" s="250" t="s">
        <v>268</v>
      </c>
      <c r="F2" s="250" t="s">
        <v>269</v>
      </c>
      <c r="G2" s="250" t="s">
        <v>270</v>
      </c>
      <c r="H2" s="250" t="s">
        <v>271</v>
      </c>
      <c r="I2" s="250" t="s">
        <v>272</v>
      </c>
      <c r="J2" s="250" t="s">
        <v>273</v>
      </c>
      <c r="K2" s="250" t="s">
        <v>274</v>
      </c>
      <c r="L2" s="250" t="s">
        <v>275</v>
      </c>
      <c r="M2" s="250" t="s">
        <v>276</v>
      </c>
      <c r="N2" s="250" t="s">
        <v>277</v>
      </c>
      <c r="O2" s="250" t="s">
        <v>278</v>
      </c>
      <c r="P2" s="251" t="s">
        <v>90</v>
      </c>
    </row>
    <row r="3" spans="2:17" x14ac:dyDescent="0.3">
      <c r="B3" s="468" t="s">
        <v>113</v>
      </c>
      <c r="C3" s="129" t="s">
        <v>297</v>
      </c>
      <c r="D3" s="134">
        <v>37</v>
      </c>
      <c r="E3" s="130">
        <v>41</v>
      </c>
      <c r="F3" s="130">
        <v>46</v>
      </c>
      <c r="G3" s="130">
        <v>48</v>
      </c>
      <c r="H3" s="130">
        <v>45</v>
      </c>
      <c r="I3" s="130">
        <v>48</v>
      </c>
      <c r="J3" s="130">
        <v>51</v>
      </c>
      <c r="K3" s="130">
        <v>39</v>
      </c>
      <c r="L3" s="130">
        <v>45</v>
      </c>
      <c r="M3" s="130">
        <v>44</v>
      </c>
      <c r="N3" s="130">
        <v>44</v>
      </c>
      <c r="O3" s="130">
        <v>43</v>
      </c>
      <c r="P3" s="131">
        <f>SUM(D3:O3)</f>
        <v>531</v>
      </c>
    </row>
    <row r="4" spans="2:17" x14ac:dyDescent="0.3">
      <c r="B4" s="468"/>
      <c r="C4" s="129" t="s">
        <v>298</v>
      </c>
      <c r="D4" s="130">
        <v>45</v>
      </c>
      <c r="E4" s="130">
        <v>45</v>
      </c>
      <c r="F4" s="130">
        <v>45</v>
      </c>
      <c r="G4" s="130">
        <v>45</v>
      </c>
      <c r="H4" s="130">
        <v>45</v>
      </c>
      <c r="I4" s="130">
        <v>50</v>
      </c>
      <c r="J4" s="130">
        <v>50</v>
      </c>
      <c r="K4" s="130">
        <v>42</v>
      </c>
      <c r="L4" s="130">
        <v>45</v>
      </c>
      <c r="M4" s="130">
        <v>45</v>
      </c>
      <c r="N4" s="130">
        <v>45</v>
      </c>
      <c r="O4" s="130">
        <v>45</v>
      </c>
      <c r="P4" s="131">
        <f t="shared" ref="P4:P13" si="0">SUM(D4:O4)</f>
        <v>547</v>
      </c>
    </row>
    <row r="5" spans="2:17" x14ac:dyDescent="0.3">
      <c r="B5" s="468"/>
      <c r="C5" s="129" t="s">
        <v>112</v>
      </c>
      <c r="D5" s="132">
        <f>D3/D4</f>
        <v>0.82222222222222219</v>
      </c>
      <c r="E5" s="132">
        <f t="shared" ref="E5:P5" si="1">E3/E4</f>
        <v>0.91111111111111109</v>
      </c>
      <c r="F5" s="132">
        <f t="shared" si="1"/>
        <v>1.0222222222222221</v>
      </c>
      <c r="G5" s="132">
        <f t="shared" si="1"/>
        <v>1.0666666666666667</v>
      </c>
      <c r="H5" s="132">
        <f t="shared" si="1"/>
        <v>1</v>
      </c>
      <c r="I5" s="132">
        <f t="shared" si="1"/>
        <v>0.96</v>
      </c>
      <c r="J5" s="132">
        <f t="shared" si="1"/>
        <v>1.02</v>
      </c>
      <c r="K5" s="132">
        <f t="shared" si="1"/>
        <v>0.9285714285714286</v>
      </c>
      <c r="L5" s="132">
        <f t="shared" si="1"/>
        <v>1</v>
      </c>
      <c r="M5" s="132">
        <f t="shared" si="1"/>
        <v>0.97777777777777775</v>
      </c>
      <c r="N5" s="132">
        <f t="shared" si="1"/>
        <v>0.97777777777777775</v>
      </c>
      <c r="O5" s="132">
        <f t="shared" si="1"/>
        <v>0.9555555555555556</v>
      </c>
      <c r="P5" s="133">
        <f t="shared" si="1"/>
        <v>0.97074954296160876</v>
      </c>
      <c r="Q5" s="123">
        <f>IF(P5&gt;=1,0,1-P5)</f>
        <v>2.9250457038391242E-2</v>
      </c>
    </row>
    <row r="6" spans="2:17" x14ac:dyDescent="0.3">
      <c r="B6" s="468" t="s">
        <v>114</v>
      </c>
      <c r="C6" s="129" t="s">
        <v>297</v>
      </c>
      <c r="D6" s="130">
        <v>75</v>
      </c>
      <c r="E6" s="130">
        <v>52</v>
      </c>
      <c r="F6" s="130">
        <v>90</v>
      </c>
      <c r="G6" s="130">
        <v>81</v>
      </c>
      <c r="H6" s="130">
        <v>46</v>
      </c>
      <c r="I6" s="130">
        <v>44</v>
      </c>
      <c r="J6" s="130">
        <v>72</v>
      </c>
      <c r="K6" s="130">
        <v>72</v>
      </c>
      <c r="L6" s="130">
        <v>60</v>
      </c>
      <c r="M6" s="130">
        <v>80</v>
      </c>
      <c r="N6" s="130">
        <v>40</v>
      </c>
      <c r="O6" s="130">
        <v>55</v>
      </c>
      <c r="P6" s="131">
        <f t="shared" si="0"/>
        <v>767</v>
      </c>
      <c r="Q6" s="124"/>
    </row>
    <row r="7" spans="2:17" x14ac:dyDescent="0.3">
      <c r="B7" s="468"/>
      <c r="C7" s="129" t="s">
        <v>298</v>
      </c>
      <c r="D7" s="130">
        <v>72</v>
      </c>
      <c r="E7" s="130">
        <v>56</v>
      </c>
      <c r="F7" s="130">
        <v>90</v>
      </c>
      <c r="G7" s="130">
        <v>81</v>
      </c>
      <c r="H7" s="130">
        <v>46</v>
      </c>
      <c r="I7" s="130">
        <v>45</v>
      </c>
      <c r="J7" s="130">
        <v>72</v>
      </c>
      <c r="K7" s="130">
        <v>72</v>
      </c>
      <c r="L7" s="130">
        <v>60</v>
      </c>
      <c r="M7" s="130">
        <v>80</v>
      </c>
      <c r="N7" s="130">
        <v>48</v>
      </c>
      <c r="O7" s="130">
        <v>60</v>
      </c>
      <c r="P7" s="131">
        <f t="shared" si="0"/>
        <v>782</v>
      </c>
      <c r="Q7" s="124"/>
    </row>
    <row r="8" spans="2:17" x14ac:dyDescent="0.3">
      <c r="B8" s="468"/>
      <c r="C8" s="129" t="s">
        <v>112</v>
      </c>
      <c r="D8" s="132">
        <f>D6/D7</f>
        <v>1.0416666666666667</v>
      </c>
      <c r="E8" s="132">
        <f t="shared" ref="E8:P8" si="2">E6/E7</f>
        <v>0.9285714285714286</v>
      </c>
      <c r="F8" s="132">
        <f t="shared" si="2"/>
        <v>1</v>
      </c>
      <c r="G8" s="132">
        <f t="shared" si="2"/>
        <v>1</v>
      </c>
      <c r="H8" s="132">
        <f t="shared" si="2"/>
        <v>1</v>
      </c>
      <c r="I8" s="132">
        <f t="shared" si="2"/>
        <v>0.97777777777777775</v>
      </c>
      <c r="J8" s="132">
        <f t="shared" si="2"/>
        <v>1</v>
      </c>
      <c r="K8" s="132">
        <f t="shared" si="2"/>
        <v>1</v>
      </c>
      <c r="L8" s="132">
        <f t="shared" si="2"/>
        <v>1</v>
      </c>
      <c r="M8" s="132">
        <f t="shared" si="2"/>
        <v>1</v>
      </c>
      <c r="N8" s="132">
        <f t="shared" si="2"/>
        <v>0.83333333333333337</v>
      </c>
      <c r="O8" s="132">
        <f t="shared" si="2"/>
        <v>0.91666666666666663</v>
      </c>
      <c r="P8" s="133">
        <f t="shared" si="2"/>
        <v>0.98081841432225059</v>
      </c>
      <c r="Q8" s="123">
        <f>IF(P8&gt;=1,0,1-P8)</f>
        <v>1.9181585677749413E-2</v>
      </c>
    </row>
    <row r="9" spans="2:17" x14ac:dyDescent="0.3">
      <c r="B9" s="468" t="s">
        <v>115</v>
      </c>
      <c r="C9" s="129" t="s">
        <v>297</v>
      </c>
      <c r="D9" s="130">
        <v>50</v>
      </c>
      <c r="E9" s="130">
        <v>74</v>
      </c>
      <c r="F9" s="130">
        <v>80</v>
      </c>
      <c r="G9" s="130">
        <v>75</v>
      </c>
      <c r="H9" s="130">
        <v>92</v>
      </c>
      <c r="I9" s="130">
        <v>91</v>
      </c>
      <c r="J9" s="130">
        <v>96</v>
      </c>
      <c r="K9" s="130">
        <v>96</v>
      </c>
      <c r="L9" s="130">
        <v>65</v>
      </c>
      <c r="M9" s="130">
        <v>40</v>
      </c>
      <c r="N9" s="130">
        <v>66</v>
      </c>
      <c r="O9" s="130">
        <v>48</v>
      </c>
      <c r="P9" s="131">
        <f t="shared" si="0"/>
        <v>873</v>
      </c>
      <c r="Q9" s="124"/>
    </row>
    <row r="10" spans="2:17" x14ac:dyDescent="0.3">
      <c r="B10" s="468"/>
      <c r="C10" s="129" t="s">
        <v>298</v>
      </c>
      <c r="D10" s="130">
        <v>50</v>
      </c>
      <c r="E10" s="130">
        <v>74</v>
      </c>
      <c r="F10" s="130">
        <v>86</v>
      </c>
      <c r="G10" s="130">
        <v>92</v>
      </c>
      <c r="H10" s="130">
        <v>100</v>
      </c>
      <c r="I10" s="130">
        <v>100</v>
      </c>
      <c r="J10" s="130">
        <v>100</v>
      </c>
      <c r="K10" s="130">
        <v>95</v>
      </c>
      <c r="L10" s="130">
        <v>72</v>
      </c>
      <c r="M10" s="130">
        <v>48</v>
      </c>
      <c r="N10" s="130">
        <v>65</v>
      </c>
      <c r="O10" s="130">
        <v>48</v>
      </c>
      <c r="P10" s="131">
        <f t="shared" si="0"/>
        <v>930</v>
      </c>
      <c r="Q10" s="124"/>
    </row>
    <row r="11" spans="2:17" x14ac:dyDescent="0.3">
      <c r="B11" s="468"/>
      <c r="C11" s="129" t="s">
        <v>112</v>
      </c>
      <c r="D11" s="132">
        <f>D9/D10</f>
        <v>1</v>
      </c>
      <c r="E11" s="132">
        <f t="shared" ref="E11:P11" si="3">E9/E10</f>
        <v>1</v>
      </c>
      <c r="F11" s="132">
        <f t="shared" si="3"/>
        <v>0.93023255813953487</v>
      </c>
      <c r="G11" s="132">
        <f t="shared" si="3"/>
        <v>0.81521739130434778</v>
      </c>
      <c r="H11" s="132">
        <f t="shared" si="3"/>
        <v>0.92</v>
      </c>
      <c r="I11" s="132">
        <f t="shared" si="3"/>
        <v>0.91</v>
      </c>
      <c r="J11" s="132">
        <f t="shared" si="3"/>
        <v>0.96</v>
      </c>
      <c r="K11" s="132">
        <f t="shared" si="3"/>
        <v>1.0105263157894737</v>
      </c>
      <c r="L11" s="132">
        <f t="shared" si="3"/>
        <v>0.90277777777777779</v>
      </c>
      <c r="M11" s="132">
        <f t="shared" si="3"/>
        <v>0.83333333333333337</v>
      </c>
      <c r="N11" s="132">
        <f t="shared" si="3"/>
        <v>1.0153846153846153</v>
      </c>
      <c r="O11" s="132">
        <f t="shared" si="3"/>
        <v>1</v>
      </c>
      <c r="P11" s="133">
        <f t="shared" si="3"/>
        <v>0.93870967741935485</v>
      </c>
      <c r="Q11" s="123">
        <f>IF(P11&gt;=1,0,1-P11)</f>
        <v>6.1290322580645151E-2</v>
      </c>
    </row>
    <row r="12" spans="2:17" x14ac:dyDescent="0.3">
      <c r="B12" s="468" t="s">
        <v>116</v>
      </c>
      <c r="C12" s="129" t="s">
        <v>297</v>
      </c>
      <c r="D12" s="130">
        <v>102</v>
      </c>
      <c r="E12" s="130">
        <v>92</v>
      </c>
      <c r="F12" s="130">
        <v>99</v>
      </c>
      <c r="G12" s="130">
        <v>98</v>
      </c>
      <c r="H12" s="130">
        <v>102</v>
      </c>
      <c r="I12" s="130">
        <v>102</v>
      </c>
      <c r="J12" s="130">
        <v>86</v>
      </c>
      <c r="K12" s="130">
        <v>86</v>
      </c>
      <c r="L12" s="130">
        <v>89</v>
      </c>
      <c r="M12" s="130">
        <v>108</v>
      </c>
      <c r="N12" s="130">
        <v>107</v>
      </c>
      <c r="O12" s="130">
        <v>94</v>
      </c>
      <c r="P12" s="131">
        <f t="shared" si="0"/>
        <v>1165</v>
      </c>
      <c r="Q12" s="124"/>
    </row>
    <row r="13" spans="2:17" x14ac:dyDescent="0.3">
      <c r="B13" s="468"/>
      <c r="C13" s="129" t="s">
        <v>298</v>
      </c>
      <c r="D13" s="130">
        <v>102</v>
      </c>
      <c r="E13" s="130">
        <v>102</v>
      </c>
      <c r="F13" s="130">
        <v>102</v>
      </c>
      <c r="G13" s="130">
        <v>106</v>
      </c>
      <c r="H13" s="130">
        <v>109</v>
      </c>
      <c r="I13" s="130">
        <v>102</v>
      </c>
      <c r="J13" s="130">
        <v>102</v>
      </c>
      <c r="K13" s="130">
        <v>110</v>
      </c>
      <c r="L13" s="130">
        <v>95</v>
      </c>
      <c r="M13" s="130">
        <v>102</v>
      </c>
      <c r="N13" s="130">
        <v>102</v>
      </c>
      <c r="O13" s="130">
        <v>102</v>
      </c>
      <c r="P13" s="131">
        <f t="shared" si="0"/>
        <v>1236</v>
      </c>
      <c r="Q13" s="124"/>
    </row>
    <row r="14" spans="2:17" x14ac:dyDescent="0.3">
      <c r="B14" s="468"/>
      <c r="C14" s="129" t="s">
        <v>112</v>
      </c>
      <c r="D14" s="132">
        <f>D12/D13</f>
        <v>1</v>
      </c>
      <c r="E14" s="132">
        <f t="shared" ref="E14:P14" si="4">E12/E13</f>
        <v>0.90196078431372551</v>
      </c>
      <c r="F14" s="132">
        <f t="shared" si="4"/>
        <v>0.97058823529411764</v>
      </c>
      <c r="G14" s="132">
        <f t="shared" si="4"/>
        <v>0.92452830188679247</v>
      </c>
      <c r="H14" s="132">
        <f t="shared" si="4"/>
        <v>0.93577981651376152</v>
      </c>
      <c r="I14" s="132">
        <f t="shared" si="4"/>
        <v>1</v>
      </c>
      <c r="J14" s="132">
        <f t="shared" si="4"/>
        <v>0.84313725490196079</v>
      </c>
      <c r="K14" s="132">
        <f t="shared" si="4"/>
        <v>0.78181818181818186</v>
      </c>
      <c r="L14" s="132">
        <f t="shared" si="4"/>
        <v>0.93684210526315792</v>
      </c>
      <c r="M14" s="132">
        <f t="shared" si="4"/>
        <v>1.0588235294117647</v>
      </c>
      <c r="N14" s="132">
        <f t="shared" si="4"/>
        <v>1.0490196078431373</v>
      </c>
      <c r="O14" s="132">
        <f t="shared" si="4"/>
        <v>0.92156862745098034</v>
      </c>
      <c r="P14" s="133">
        <f t="shared" si="4"/>
        <v>0.94255663430420711</v>
      </c>
      <c r="Q14" s="123">
        <f>IF(P14&gt;=1,0,1-P14)</f>
        <v>5.7443365695792892E-2</v>
      </c>
    </row>
    <row r="15" spans="2:17" x14ac:dyDescent="0.3">
      <c r="B15" s="468" t="s">
        <v>117</v>
      </c>
      <c r="C15" s="129" t="s">
        <v>297</v>
      </c>
      <c r="D15" s="130">
        <v>55</v>
      </c>
      <c r="E15" s="130">
        <v>55</v>
      </c>
      <c r="F15" s="130">
        <v>55</v>
      </c>
      <c r="G15" s="130">
        <v>55</v>
      </c>
      <c r="H15" s="130">
        <v>50</v>
      </c>
      <c r="I15" s="130">
        <v>60</v>
      </c>
      <c r="J15" s="130">
        <v>30</v>
      </c>
      <c r="K15" s="130">
        <v>23</v>
      </c>
      <c r="L15" s="130">
        <v>90</v>
      </c>
      <c r="M15" s="130">
        <v>66</v>
      </c>
      <c r="N15" s="130">
        <v>45</v>
      </c>
      <c r="O15" s="130">
        <v>40</v>
      </c>
      <c r="P15" s="131">
        <f t="shared" ref="P15:P16" si="5">SUM(D15:O15)</f>
        <v>624</v>
      </c>
      <c r="Q15" s="124"/>
    </row>
    <row r="16" spans="2:17" x14ac:dyDescent="0.3">
      <c r="B16" s="468"/>
      <c r="C16" s="129" t="s">
        <v>298</v>
      </c>
      <c r="D16" s="130">
        <v>48</v>
      </c>
      <c r="E16" s="130">
        <v>48</v>
      </c>
      <c r="F16" s="130">
        <v>56</v>
      </c>
      <c r="G16" s="130">
        <v>56</v>
      </c>
      <c r="H16" s="130">
        <v>56</v>
      </c>
      <c r="I16" s="130">
        <v>67</v>
      </c>
      <c r="J16" s="130">
        <v>32</v>
      </c>
      <c r="K16" s="130">
        <v>24</v>
      </c>
      <c r="L16" s="130">
        <v>90</v>
      </c>
      <c r="M16" s="130">
        <v>66</v>
      </c>
      <c r="N16" s="130">
        <v>48</v>
      </c>
      <c r="O16" s="130">
        <v>40</v>
      </c>
      <c r="P16" s="131">
        <f t="shared" si="5"/>
        <v>631</v>
      </c>
      <c r="Q16" s="124"/>
    </row>
    <row r="17" spans="2:17" x14ac:dyDescent="0.3">
      <c r="B17" s="468"/>
      <c r="C17" s="129" t="s">
        <v>112</v>
      </c>
      <c r="D17" s="132">
        <f>D15/D16</f>
        <v>1.1458333333333333</v>
      </c>
      <c r="E17" s="132">
        <f t="shared" ref="E17:P17" si="6">E15/E16</f>
        <v>1.1458333333333333</v>
      </c>
      <c r="F17" s="132">
        <f t="shared" si="6"/>
        <v>0.9821428571428571</v>
      </c>
      <c r="G17" s="132">
        <f t="shared" si="6"/>
        <v>0.9821428571428571</v>
      </c>
      <c r="H17" s="132">
        <f t="shared" si="6"/>
        <v>0.8928571428571429</v>
      </c>
      <c r="I17" s="132">
        <f t="shared" si="6"/>
        <v>0.89552238805970152</v>
      </c>
      <c r="J17" s="132">
        <f t="shared" si="6"/>
        <v>0.9375</v>
      </c>
      <c r="K17" s="132">
        <f t="shared" si="6"/>
        <v>0.95833333333333337</v>
      </c>
      <c r="L17" s="132">
        <f t="shared" si="6"/>
        <v>1</v>
      </c>
      <c r="M17" s="132">
        <f t="shared" si="6"/>
        <v>1</v>
      </c>
      <c r="N17" s="132">
        <f t="shared" si="6"/>
        <v>0.9375</v>
      </c>
      <c r="O17" s="132">
        <f t="shared" si="6"/>
        <v>1</v>
      </c>
      <c r="P17" s="133">
        <f t="shared" si="6"/>
        <v>0.9889064976228209</v>
      </c>
      <c r="Q17" s="123">
        <f>IF(P17&gt;=1,0,1-P17)</f>
        <v>1.1093502377179099E-2</v>
      </c>
    </row>
    <row r="18" spans="2:17" x14ac:dyDescent="0.3">
      <c r="B18" s="468" t="s">
        <v>118</v>
      </c>
      <c r="C18" s="129" t="s">
        <v>297</v>
      </c>
      <c r="D18" s="130">
        <v>16</v>
      </c>
      <c r="E18" s="130">
        <v>9</v>
      </c>
      <c r="F18" s="130">
        <v>21</v>
      </c>
      <c r="G18" s="130">
        <v>24</v>
      </c>
      <c r="H18" s="130">
        <v>24</v>
      </c>
      <c r="I18" s="130">
        <v>34</v>
      </c>
      <c r="J18" s="130">
        <v>52</v>
      </c>
      <c r="K18" s="130">
        <v>72</v>
      </c>
      <c r="L18" s="130">
        <v>70</v>
      </c>
      <c r="M18" s="130">
        <v>24</v>
      </c>
      <c r="N18" s="130">
        <v>40</v>
      </c>
      <c r="O18" s="130">
        <v>24</v>
      </c>
      <c r="P18" s="131">
        <f t="shared" ref="P18:P19" si="7">SUM(D18:O18)</f>
        <v>410</v>
      </c>
      <c r="Q18" s="124"/>
    </row>
    <row r="19" spans="2:17" x14ac:dyDescent="0.3">
      <c r="B19" s="468"/>
      <c r="C19" s="129" t="s">
        <v>298</v>
      </c>
      <c r="D19" s="130">
        <v>16</v>
      </c>
      <c r="E19" s="130">
        <v>10</v>
      </c>
      <c r="F19" s="130">
        <v>21</v>
      </c>
      <c r="G19" s="130">
        <v>24</v>
      </c>
      <c r="H19" s="130">
        <v>26</v>
      </c>
      <c r="I19" s="130">
        <v>32</v>
      </c>
      <c r="J19" s="130">
        <v>48</v>
      </c>
      <c r="K19" s="130">
        <v>72</v>
      </c>
      <c r="L19" s="130">
        <v>72</v>
      </c>
      <c r="M19" s="130">
        <v>24</v>
      </c>
      <c r="N19" s="130">
        <v>48</v>
      </c>
      <c r="O19" s="130">
        <v>30</v>
      </c>
      <c r="P19" s="131">
        <f t="shared" si="7"/>
        <v>423</v>
      </c>
      <c r="Q19" s="124"/>
    </row>
    <row r="20" spans="2:17" x14ac:dyDescent="0.3">
      <c r="B20" s="468"/>
      <c r="C20" s="129" t="s">
        <v>112</v>
      </c>
      <c r="D20" s="132">
        <f>D18/D19</f>
        <v>1</v>
      </c>
      <c r="E20" s="132">
        <f t="shared" ref="E20:P20" si="8">E18/E19</f>
        <v>0.9</v>
      </c>
      <c r="F20" s="132">
        <f t="shared" si="8"/>
        <v>1</v>
      </c>
      <c r="G20" s="132">
        <f t="shared" si="8"/>
        <v>1</v>
      </c>
      <c r="H20" s="132">
        <f t="shared" si="8"/>
        <v>0.92307692307692313</v>
      </c>
      <c r="I20" s="132">
        <f t="shared" si="8"/>
        <v>1.0625</v>
      </c>
      <c r="J20" s="132">
        <f t="shared" si="8"/>
        <v>1.0833333333333333</v>
      </c>
      <c r="K20" s="132">
        <f t="shared" si="8"/>
        <v>1</v>
      </c>
      <c r="L20" s="132">
        <f t="shared" si="8"/>
        <v>0.97222222222222221</v>
      </c>
      <c r="M20" s="132">
        <f t="shared" si="8"/>
        <v>1</v>
      </c>
      <c r="N20" s="132">
        <f t="shared" si="8"/>
        <v>0.83333333333333337</v>
      </c>
      <c r="O20" s="132">
        <f t="shared" si="8"/>
        <v>0.8</v>
      </c>
      <c r="P20" s="133">
        <f t="shared" si="8"/>
        <v>0.96926713947990539</v>
      </c>
      <c r="Q20" s="123">
        <f>IF(P20&gt;=1,0,1-P20)</f>
        <v>3.0732860520094607E-2</v>
      </c>
    </row>
  </sheetData>
  <mergeCells count="6">
    <mergeCell ref="B18:B20"/>
    <mergeCell ref="B3:B5"/>
    <mergeCell ref="B6:B8"/>
    <mergeCell ref="B9:B11"/>
    <mergeCell ref="B12:B14"/>
    <mergeCell ref="B15:B17"/>
  </mergeCells>
  <phoneticPr fontId="7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DB57-8DA6-4AA4-B0FB-3FAA557C6960}">
  <sheetPr codeName="Sheet18"/>
  <dimension ref="B2:P30"/>
  <sheetViews>
    <sheetView showGridLines="0" workbookViewId="0">
      <selection activeCell="T21" sqref="T21"/>
    </sheetView>
  </sheetViews>
  <sheetFormatPr defaultRowHeight="14.4" x14ac:dyDescent="0.3"/>
  <sheetData>
    <row r="2" spans="2:16" ht="18" x14ac:dyDescent="0.35">
      <c r="B2" s="392" t="s">
        <v>279</v>
      </c>
      <c r="C2" s="393"/>
      <c r="D2" s="393"/>
      <c r="E2" s="393"/>
      <c r="F2" s="393"/>
      <c r="G2" s="394"/>
    </row>
    <row r="6" spans="2:16" ht="18" x14ac:dyDescent="0.35">
      <c r="B6" s="392" t="s">
        <v>280</v>
      </c>
      <c r="C6" s="393"/>
      <c r="D6" s="393"/>
      <c r="E6" s="393"/>
      <c r="F6" s="393"/>
      <c r="G6" s="394"/>
    </row>
    <row r="9" spans="2:16" x14ac:dyDescent="0.3">
      <c r="B9" s="420" t="s">
        <v>70</v>
      </c>
      <c r="C9" s="422"/>
      <c r="E9" s="226" t="s">
        <v>32</v>
      </c>
      <c r="F9" s="227" t="s">
        <v>33</v>
      </c>
      <c r="G9" s="227" t="s">
        <v>34</v>
      </c>
      <c r="H9" s="227" t="s">
        <v>35</v>
      </c>
      <c r="I9" s="227" t="s">
        <v>36</v>
      </c>
      <c r="J9" s="227" t="s">
        <v>37</v>
      </c>
      <c r="K9" s="227" t="s">
        <v>38</v>
      </c>
      <c r="L9" s="227" t="s">
        <v>39</v>
      </c>
      <c r="M9" s="227" t="s">
        <v>40</v>
      </c>
      <c r="N9" s="227" t="s">
        <v>41</v>
      </c>
      <c r="O9" s="227" t="s">
        <v>42</v>
      </c>
      <c r="P9" s="228" t="s">
        <v>43</v>
      </c>
    </row>
    <row r="10" spans="2:16" x14ac:dyDescent="0.3">
      <c r="B10" s="420" t="s">
        <v>71</v>
      </c>
      <c r="C10" s="422"/>
      <c r="E10" s="45">
        <f>Calculations!D19</f>
        <v>0.91111111111111109</v>
      </c>
      <c r="F10" s="42">
        <f>Calculations!E19</f>
        <v>0.97777777777777775</v>
      </c>
      <c r="G10" s="42">
        <f>Calculations!F19</f>
        <v>1</v>
      </c>
      <c r="H10" s="42">
        <f>Calculations!G19</f>
        <v>1</v>
      </c>
      <c r="I10" s="42">
        <f>Calculations!H19</f>
        <v>1</v>
      </c>
      <c r="J10" s="42">
        <f>Calculations!I19</f>
        <v>1</v>
      </c>
      <c r="K10" s="42">
        <f>Calculations!J19</f>
        <v>1</v>
      </c>
      <c r="L10" s="42">
        <f>Calculations!K19</f>
        <v>1</v>
      </c>
      <c r="M10" s="42">
        <f>Calculations!L19</f>
        <v>1</v>
      </c>
      <c r="N10" s="42">
        <f>Calculations!M19</f>
        <v>1</v>
      </c>
      <c r="O10" s="42">
        <f>Calculations!N19</f>
        <v>1</v>
      </c>
      <c r="P10" s="46">
        <f>Calculations!O19</f>
        <v>1</v>
      </c>
    </row>
    <row r="11" spans="2:16" x14ac:dyDescent="0.3">
      <c r="B11" s="420" t="s">
        <v>72</v>
      </c>
      <c r="C11" s="422"/>
      <c r="E11" s="45">
        <f>Calculations!D20</f>
        <v>0.72222222222222221</v>
      </c>
      <c r="F11" s="42">
        <f>Calculations!E20</f>
        <v>0.72222222222222221</v>
      </c>
      <c r="G11" s="42">
        <f>Calculations!F20</f>
        <v>0.72222222222222221</v>
      </c>
      <c r="H11" s="42">
        <f>Calculations!G20</f>
        <v>0.77777777777777779</v>
      </c>
      <c r="I11" s="42">
        <f>Calculations!H20</f>
        <v>0.77777777777777779</v>
      </c>
      <c r="J11" s="42">
        <f>Calculations!I20</f>
        <v>0.77777777777777779</v>
      </c>
      <c r="K11" s="42">
        <f>Calculations!J20</f>
        <v>0.88888888888888884</v>
      </c>
      <c r="L11" s="42">
        <f>Calculations!K20</f>
        <v>0.88888888888888884</v>
      </c>
      <c r="M11" s="42">
        <f>Calculations!L20</f>
        <v>0.88888888888888884</v>
      </c>
      <c r="N11" s="42">
        <f>Calculations!M20</f>
        <v>0.88888888888888884</v>
      </c>
      <c r="O11" s="42">
        <f>Calculations!N20</f>
        <v>0.88888888888888884</v>
      </c>
      <c r="P11" s="46">
        <f>Calculations!O20</f>
        <v>1</v>
      </c>
    </row>
    <row r="12" spans="2:16" x14ac:dyDescent="0.3">
      <c r="B12" s="420" t="s">
        <v>1</v>
      </c>
      <c r="C12" s="422"/>
      <c r="E12" s="45">
        <f>Calculations!D21</f>
        <v>0.3888888888888889</v>
      </c>
      <c r="F12" s="42">
        <f>Calculations!E21</f>
        <v>0.3888888888888889</v>
      </c>
      <c r="G12" s="42">
        <f>Calculations!F21</f>
        <v>0.3888888888888889</v>
      </c>
      <c r="H12" s="42">
        <f>Calculations!G21</f>
        <v>0.3888888888888889</v>
      </c>
      <c r="I12" s="42">
        <f>Calculations!H21</f>
        <v>0.44444444444444442</v>
      </c>
      <c r="J12" s="42">
        <f>Calculations!I21</f>
        <v>0.44444444444444442</v>
      </c>
      <c r="K12" s="42">
        <f>Calculations!J21</f>
        <v>0.44444444444444442</v>
      </c>
      <c r="L12" s="42">
        <f>Calculations!K21</f>
        <v>0.5</v>
      </c>
      <c r="M12" s="42">
        <f>Calculations!L21</f>
        <v>0.5</v>
      </c>
      <c r="N12" s="42">
        <f>Calculations!M21</f>
        <v>0.5</v>
      </c>
      <c r="O12" s="42">
        <f>Calculations!N21</f>
        <v>0.5</v>
      </c>
      <c r="P12" s="46">
        <f>Calculations!O21</f>
        <v>0.5</v>
      </c>
    </row>
    <row r="13" spans="2:16" x14ac:dyDescent="0.3"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6" ht="18" x14ac:dyDescent="0.35">
      <c r="B14" s="392" t="s">
        <v>73</v>
      </c>
      <c r="C14" s="393"/>
      <c r="D14" s="393"/>
      <c r="E14" s="393"/>
      <c r="F14" s="393"/>
      <c r="G14" s="394"/>
      <c r="H14" s="9"/>
      <c r="I14" s="9"/>
      <c r="J14" s="9"/>
      <c r="K14" s="9"/>
      <c r="L14" s="9"/>
      <c r="M14" s="9"/>
      <c r="N14" s="9"/>
      <c r="O14" s="9"/>
      <c r="P14" s="9"/>
    </row>
    <row r="15" spans="2:16" x14ac:dyDescent="0.3"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16" x14ac:dyDescent="0.3">
      <c r="B16" s="420" t="s">
        <v>70</v>
      </c>
      <c r="C16" s="422"/>
      <c r="E16" s="226" t="s">
        <v>32</v>
      </c>
      <c r="F16" s="227" t="s">
        <v>33</v>
      </c>
      <c r="G16" s="227" t="s">
        <v>34</v>
      </c>
      <c r="H16" s="227" t="s">
        <v>35</v>
      </c>
      <c r="I16" s="227" t="s">
        <v>36</v>
      </c>
      <c r="J16" s="227" t="s">
        <v>37</v>
      </c>
      <c r="K16" s="227" t="s">
        <v>38</v>
      </c>
      <c r="L16" s="227" t="s">
        <v>39</v>
      </c>
      <c r="M16" s="227" t="s">
        <v>40</v>
      </c>
      <c r="N16" s="227" t="s">
        <v>41</v>
      </c>
      <c r="O16" s="227" t="s">
        <v>42</v>
      </c>
      <c r="P16" s="228" t="s">
        <v>43</v>
      </c>
    </row>
    <row r="17" spans="2:16" x14ac:dyDescent="0.3">
      <c r="E17" s="45">
        <v>0.1</v>
      </c>
      <c r="F17" s="42">
        <v>0.1</v>
      </c>
      <c r="G17" s="42">
        <v>0.1</v>
      </c>
      <c r="H17" s="42">
        <v>0.1</v>
      </c>
      <c r="I17" s="42">
        <v>0.1</v>
      </c>
      <c r="J17" s="42">
        <v>0.15</v>
      </c>
      <c r="K17" s="42">
        <v>0.2</v>
      </c>
      <c r="L17" s="42">
        <v>0.2</v>
      </c>
      <c r="M17" s="42">
        <v>0.1</v>
      </c>
      <c r="N17" s="42">
        <v>0.1</v>
      </c>
      <c r="O17" s="42">
        <v>0.1</v>
      </c>
      <c r="P17" s="46">
        <v>0.15</v>
      </c>
    </row>
    <row r="18" spans="2:16" x14ac:dyDescent="0.3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ht="18" x14ac:dyDescent="0.35">
      <c r="B19" s="392" t="s">
        <v>74</v>
      </c>
      <c r="C19" s="393"/>
      <c r="D19" s="393"/>
      <c r="E19" s="393"/>
      <c r="F19" s="393"/>
      <c r="G19" s="394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3"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3">
      <c r="B21" s="420" t="s">
        <v>70</v>
      </c>
      <c r="C21" s="422"/>
      <c r="E21" s="226" t="s">
        <v>32</v>
      </c>
      <c r="F21" s="227" t="s">
        <v>33</v>
      </c>
      <c r="G21" s="227" t="s">
        <v>34</v>
      </c>
      <c r="H21" s="227" t="s">
        <v>35</v>
      </c>
      <c r="I21" s="227" t="s">
        <v>36</v>
      </c>
      <c r="J21" s="227" t="s">
        <v>37</v>
      </c>
      <c r="K21" s="227" t="s">
        <v>38</v>
      </c>
      <c r="L21" s="227" t="s">
        <v>39</v>
      </c>
      <c r="M21" s="227" t="s">
        <v>40</v>
      </c>
      <c r="N21" s="227" t="s">
        <v>41</v>
      </c>
      <c r="O21" s="227" t="s">
        <v>42</v>
      </c>
      <c r="P21" s="228" t="s">
        <v>43</v>
      </c>
    </row>
    <row r="22" spans="2:16" x14ac:dyDescent="0.3">
      <c r="B22" s="24" t="s">
        <v>261</v>
      </c>
      <c r="C22" s="15"/>
      <c r="E22" s="47">
        <f>Calculations!E36</f>
        <v>0.58333333333333337</v>
      </c>
      <c r="F22" s="43">
        <f>Calculations!F36</f>
        <v>0.58333333333333337</v>
      </c>
      <c r="G22" s="43">
        <f>Calculations!G36</f>
        <v>0.91666666666666663</v>
      </c>
      <c r="H22" s="43">
        <f>Calculations!H36</f>
        <v>1</v>
      </c>
      <c r="I22" s="43">
        <f>Calculations!I36</f>
        <v>1</v>
      </c>
      <c r="J22" s="43">
        <f>Calculations!J36</f>
        <v>1</v>
      </c>
      <c r="K22" s="43">
        <f>Calculations!K36</f>
        <v>1</v>
      </c>
      <c r="L22" s="43">
        <f>Calculations!L36</f>
        <v>1</v>
      </c>
      <c r="M22" s="43">
        <f>Calculations!M36</f>
        <v>0.66666666666666663</v>
      </c>
      <c r="N22" s="43">
        <f>Calculations!N36</f>
        <v>1</v>
      </c>
      <c r="O22" s="43">
        <f>Calculations!O36</f>
        <v>1</v>
      </c>
      <c r="P22" s="48">
        <f>Calculations!P36</f>
        <v>1</v>
      </c>
    </row>
    <row r="23" spans="2:16" x14ac:dyDescent="0.3">
      <c r="B23" s="24" t="s">
        <v>262</v>
      </c>
      <c r="C23" s="15"/>
      <c r="E23" s="49">
        <f>Calculations!E37</f>
        <v>0.66666666666666663</v>
      </c>
      <c r="F23" s="44">
        <f>Calculations!F37</f>
        <v>0.66666666666666663</v>
      </c>
      <c r="G23" s="44">
        <f>Calculations!G37</f>
        <v>0.66666666666666663</v>
      </c>
      <c r="H23" s="44">
        <f>Calculations!H37</f>
        <v>1</v>
      </c>
      <c r="I23" s="44">
        <f>Calculations!I37</f>
        <v>1</v>
      </c>
      <c r="J23" s="44">
        <f>Calculations!J37</f>
        <v>1</v>
      </c>
      <c r="K23" s="44">
        <f>Calculations!K37</f>
        <v>1</v>
      </c>
      <c r="L23" s="44">
        <f>Calculations!L37</f>
        <v>1</v>
      </c>
      <c r="M23" s="44">
        <f>Calculations!M37</f>
        <v>0.66666666666666663</v>
      </c>
      <c r="N23" s="44">
        <f>Calculations!N37</f>
        <v>1</v>
      </c>
      <c r="O23" s="44">
        <f>Calculations!O37</f>
        <v>1</v>
      </c>
      <c r="P23" s="50">
        <f>Calculations!P37</f>
        <v>1</v>
      </c>
    </row>
    <row r="24" spans="2:16" x14ac:dyDescent="0.3"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3"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"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3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3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3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</sheetData>
  <mergeCells count="10">
    <mergeCell ref="B21:C21"/>
    <mergeCell ref="B16:C16"/>
    <mergeCell ref="B2:G2"/>
    <mergeCell ref="B6:G6"/>
    <mergeCell ref="B14:G14"/>
    <mergeCell ref="B19:G19"/>
    <mergeCell ref="B9:C9"/>
    <mergeCell ref="B10:C10"/>
    <mergeCell ref="B11:C11"/>
    <mergeCell ref="B12:C12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A605-5749-4E77-B2F3-60FEE105176F}">
  <sheetPr codeName="Sheet23"/>
  <dimension ref="A1:Y145"/>
  <sheetViews>
    <sheetView showGridLines="0" workbookViewId="0">
      <selection activeCell="R5" sqref="R5:T5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5546875" style="136" bestFit="1" customWidth="1"/>
    <col min="7" max="7" width="9.6640625" customWidth="1"/>
    <col min="8" max="8" width="9.6640625" bestFit="1" customWidth="1"/>
    <col min="9" max="9" width="10.44140625" customWidth="1"/>
    <col min="10" max="13" width="9.5546875" bestFit="1" customWidth="1"/>
    <col min="14" max="14" width="9.5546875" customWidth="1"/>
    <col min="15" max="16" width="9.5546875" bestFit="1" customWidth="1"/>
    <col min="17" max="17" width="10" customWidth="1"/>
    <col min="18" max="18" width="9.5546875" bestFit="1" customWidth="1"/>
    <col min="19" max="19" width="9.33203125" customWidth="1"/>
    <col min="20" max="20" width="9.77734375" customWidth="1"/>
    <col min="21" max="21" width="10.5546875" bestFit="1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175</v>
      </c>
      <c r="F2"/>
    </row>
    <row r="3" spans="1:25" x14ac:dyDescent="0.3">
      <c r="B3" t="s">
        <v>145</v>
      </c>
      <c r="F3"/>
    </row>
    <row r="4" spans="1:25" x14ac:dyDescent="0.3">
      <c r="F4"/>
    </row>
    <row r="5" spans="1:25" x14ac:dyDescent="0.3">
      <c r="A5" s="154"/>
      <c r="B5" s="181" t="s">
        <v>176</v>
      </c>
      <c r="C5" s="154"/>
      <c r="D5" s="154"/>
      <c r="E5" s="154"/>
      <c r="F5" s="213">
        <v>2024</v>
      </c>
      <c r="G5" s="213">
        <v>2024</v>
      </c>
      <c r="H5" s="213">
        <v>2024</v>
      </c>
      <c r="I5" s="213">
        <v>2024</v>
      </c>
      <c r="J5" s="213">
        <v>2024</v>
      </c>
      <c r="K5" s="213">
        <v>2024</v>
      </c>
      <c r="L5" s="213">
        <v>2024</v>
      </c>
      <c r="M5" s="213">
        <v>2024</v>
      </c>
      <c r="N5" s="213">
        <v>2024</v>
      </c>
      <c r="O5" s="213">
        <v>2024</v>
      </c>
      <c r="P5" s="213">
        <v>2024</v>
      </c>
      <c r="Q5" s="213">
        <v>2024</v>
      </c>
      <c r="R5" s="213">
        <v>2025</v>
      </c>
      <c r="S5" s="213">
        <v>2025</v>
      </c>
      <c r="T5" s="213">
        <v>2025</v>
      </c>
      <c r="U5" s="154"/>
    </row>
    <row r="6" spans="1:25" ht="15" thickBot="1" x14ac:dyDescent="0.35">
      <c r="A6" s="166"/>
      <c r="B6" s="167" t="s">
        <v>70</v>
      </c>
      <c r="C6" s="155"/>
      <c r="D6" s="155"/>
      <c r="E6" s="155"/>
      <c r="F6" s="212" t="s">
        <v>32</v>
      </c>
      <c r="G6" s="212" t="s">
        <v>33</v>
      </c>
      <c r="H6" s="212" t="s">
        <v>34</v>
      </c>
      <c r="I6" s="212" t="s">
        <v>35</v>
      </c>
      <c r="J6" s="212" t="s">
        <v>36</v>
      </c>
      <c r="K6" s="212" t="s">
        <v>37</v>
      </c>
      <c r="L6" s="212" t="s">
        <v>38</v>
      </c>
      <c r="M6" s="212" t="s">
        <v>39</v>
      </c>
      <c r="N6" s="212" t="s">
        <v>40</v>
      </c>
      <c r="O6" s="212" t="s">
        <v>41</v>
      </c>
      <c r="P6" s="212" t="s">
        <v>42</v>
      </c>
      <c r="Q6" s="212" t="s">
        <v>43</v>
      </c>
      <c r="R6" s="212" t="s">
        <v>32</v>
      </c>
      <c r="S6" s="212" t="s">
        <v>33</v>
      </c>
      <c r="T6" s="212" t="s">
        <v>34</v>
      </c>
      <c r="U6" s="209" t="s">
        <v>78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6" t="s">
        <v>175</v>
      </c>
      <c r="F8"/>
    </row>
    <row r="9" spans="1:25" x14ac:dyDescent="0.3">
      <c r="C9" s="177"/>
      <c r="F9"/>
    </row>
    <row r="10" spans="1:25" x14ac:dyDescent="0.3">
      <c r="C10" s="176" t="s">
        <v>55</v>
      </c>
      <c r="F10"/>
      <c r="G10" s="178"/>
      <c r="H10" s="178"/>
      <c r="I10" s="178"/>
      <c r="J10" s="178"/>
      <c r="K10" s="178"/>
      <c r="L10" s="177"/>
      <c r="M10" s="178"/>
      <c r="N10" s="178"/>
      <c r="O10" s="178"/>
      <c r="P10" s="178"/>
      <c r="Q10" s="178"/>
      <c r="R10" s="178"/>
      <c r="S10" s="178"/>
      <c r="T10" s="178"/>
      <c r="V10" s="1"/>
    </row>
    <row r="11" spans="1:25" x14ac:dyDescent="0.3">
      <c r="C11" s="177" t="s">
        <v>177</v>
      </c>
      <c r="F11" s="178">
        <f>'CF 2024'!G44</f>
        <v>157584</v>
      </c>
      <c r="G11" s="178">
        <f>F14+'CF 2024'!H53</f>
        <v>382050.39999999997</v>
      </c>
      <c r="H11" s="178">
        <f>G14+'CF 2024'!I53</f>
        <v>554999.6</v>
      </c>
      <c r="I11" s="178">
        <f>H14+'CF 2024'!J53</f>
        <v>802672.39999999991</v>
      </c>
      <c r="J11" s="178">
        <f>I14+'CF 2024'!K53</f>
        <v>986296.79999999993</v>
      </c>
      <c r="K11" s="178">
        <f>J14+'CF 2024'!L53</f>
        <v>1193520.7999999998</v>
      </c>
      <c r="L11" s="178">
        <f>K14+'CF 2024'!M53</f>
        <v>1387256.4</v>
      </c>
      <c r="M11" s="178">
        <f>L14+'CF 2024'!N53</f>
        <v>1599947.5999999999</v>
      </c>
      <c r="N11" s="178">
        <f>M14+'CF 2024'!O53</f>
        <v>1821366.4</v>
      </c>
      <c r="O11" s="178">
        <f>N14+'CF 2024'!P53</f>
        <v>2081568.7999999998</v>
      </c>
      <c r="P11" s="178">
        <f>O14+'CF 2024'!Q53</f>
        <v>2350730.7999999998</v>
      </c>
      <c r="Q11" s="178">
        <f>P14+'CF 2024'!R53</f>
        <v>2624392.4</v>
      </c>
      <c r="R11" s="178">
        <f>'BS 2025'!F11</f>
        <v>2978356.1823999998</v>
      </c>
      <c r="S11" s="178">
        <f>'BS 2025'!G11</f>
        <v>3341788.0959999999</v>
      </c>
      <c r="T11" s="178">
        <f>'BS 2025'!H11</f>
        <v>3713116.1408000002</v>
      </c>
      <c r="U11" s="1"/>
      <c r="V11" s="1"/>
    </row>
    <row r="12" spans="1:25" x14ac:dyDescent="0.3">
      <c r="C12" s="177" t="s">
        <v>178</v>
      </c>
      <c r="F12" s="178"/>
      <c r="G12" s="177"/>
      <c r="H12" s="177"/>
      <c r="I12" s="177" t="s">
        <v>195</v>
      </c>
      <c r="J12" s="177"/>
      <c r="K12" s="177" t="s">
        <v>195</v>
      </c>
      <c r="L12" s="177"/>
      <c r="M12" s="177"/>
      <c r="N12" s="177"/>
      <c r="O12" s="177"/>
      <c r="P12" s="177"/>
      <c r="Q12" s="177"/>
      <c r="R12" s="177"/>
      <c r="S12" s="177" t="s">
        <v>195</v>
      </c>
      <c r="T12" s="177" t="s">
        <v>195</v>
      </c>
      <c r="V12" s="1"/>
    </row>
    <row r="13" spans="1:25" x14ac:dyDescent="0.3">
      <c r="C13" s="177" t="s">
        <v>179</v>
      </c>
      <c r="F13"/>
      <c r="I13" s="178"/>
      <c r="K13" s="178"/>
      <c r="S13" s="178"/>
      <c r="T13" s="178"/>
      <c r="V13" s="1"/>
    </row>
    <row r="14" spans="1:25" x14ac:dyDescent="0.3">
      <c r="C14" s="177" t="s">
        <v>180</v>
      </c>
      <c r="F14" s="178">
        <f>SUM(F11:F13)</f>
        <v>157584</v>
      </c>
      <c r="G14" s="178">
        <f t="shared" ref="G14:Q14" si="0">SUM(G11:G13)</f>
        <v>382050.39999999997</v>
      </c>
      <c r="H14" s="178">
        <f t="shared" si="0"/>
        <v>554999.6</v>
      </c>
      <c r="I14" s="178">
        <f t="shared" si="0"/>
        <v>802672.39999999991</v>
      </c>
      <c r="J14" s="178">
        <f t="shared" si="0"/>
        <v>986296.79999999993</v>
      </c>
      <c r="K14" s="178">
        <f t="shared" si="0"/>
        <v>1193520.7999999998</v>
      </c>
      <c r="L14" s="178">
        <f t="shared" si="0"/>
        <v>1387256.4</v>
      </c>
      <c r="M14" s="178">
        <f t="shared" si="0"/>
        <v>1599947.5999999999</v>
      </c>
      <c r="N14" s="178">
        <f t="shared" si="0"/>
        <v>1821366.4</v>
      </c>
      <c r="O14" s="178">
        <f t="shared" si="0"/>
        <v>2081568.7999999998</v>
      </c>
      <c r="P14" s="178">
        <f t="shared" si="0"/>
        <v>2350730.7999999998</v>
      </c>
      <c r="Q14" s="178">
        <f t="shared" si="0"/>
        <v>2624392.4</v>
      </c>
      <c r="R14" s="178">
        <f t="shared" ref="R14" si="1">SUM(R11:R13)</f>
        <v>2978356.1823999998</v>
      </c>
      <c r="S14" s="178">
        <f t="shared" ref="S14" si="2">SUM(S11:S13)</f>
        <v>3341788.0959999999</v>
      </c>
      <c r="T14" s="178">
        <f t="shared" ref="T14" si="3">SUM(T11:T13)</f>
        <v>3713116.1408000002</v>
      </c>
      <c r="U14" s="223">
        <f>SUM(F14:Q14)</f>
        <v>15942386.4</v>
      </c>
      <c r="V14" s="1"/>
    </row>
    <row r="15" spans="1:25" x14ac:dyDescent="0.3">
      <c r="C15" s="176" t="s">
        <v>56</v>
      </c>
      <c r="F15"/>
      <c r="G15" s="177"/>
      <c r="H15" s="177"/>
      <c r="I15" s="177"/>
      <c r="J15" s="180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V15" s="1"/>
    </row>
    <row r="16" spans="1:25" x14ac:dyDescent="0.3">
      <c r="C16" s="179" t="s">
        <v>181</v>
      </c>
      <c r="F16" s="178">
        <f>ABS('CF 2024'!G46)-'IS 2024'!F60</f>
        <v>451711</v>
      </c>
      <c r="G16" s="178">
        <f>F16-'IS 2024'!G60</f>
        <v>453422</v>
      </c>
      <c r="H16" s="178">
        <f>G16-'IS 2024'!H60</f>
        <v>455133</v>
      </c>
      <c r="I16" s="178">
        <f>H16-'IS 2024'!I60</f>
        <v>456844</v>
      </c>
      <c r="J16" s="178">
        <f>I16-'IS 2024'!J60</f>
        <v>458555</v>
      </c>
      <c r="K16" s="178">
        <f>J16-'IS 2024'!K60</f>
        <v>460266</v>
      </c>
      <c r="L16" s="178">
        <f>K16-'IS 2024'!L60</f>
        <v>461977</v>
      </c>
      <c r="M16" s="178">
        <f>L16-'IS 2024'!M60</f>
        <v>463688</v>
      </c>
      <c r="N16" s="178">
        <f>M16-'IS 2024'!N60</f>
        <v>465399</v>
      </c>
      <c r="O16" s="178">
        <f>N16-'IS 2024'!O60</f>
        <v>467110</v>
      </c>
      <c r="P16" s="178">
        <f>O16-'IS 2024'!P60</f>
        <v>468821</v>
      </c>
      <c r="Q16" s="178">
        <f>P16-'IS 2024'!Q60</f>
        <v>470532</v>
      </c>
      <c r="R16" s="178">
        <f>'BS 2025'!F16</f>
        <v>471982</v>
      </c>
      <c r="S16" s="185">
        <f>R16-'IS 2025'!G61</f>
        <v>473432</v>
      </c>
      <c r="T16" s="185">
        <f>S16-'IS 2025'!H61</f>
        <v>474882</v>
      </c>
      <c r="V16" s="1"/>
    </row>
    <row r="17" spans="1:22" x14ac:dyDescent="0.3">
      <c r="C17" s="179" t="s">
        <v>182</v>
      </c>
      <c r="F17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V17" s="1"/>
    </row>
    <row r="18" spans="1:22" x14ac:dyDescent="0.3">
      <c r="C18" s="179" t="s">
        <v>183</v>
      </c>
      <c r="F18" s="185">
        <f>SUM(F16:F17)</f>
        <v>451711</v>
      </c>
      <c r="G18" s="185">
        <f t="shared" ref="G18:T18" si="4">SUM(G16:G17)</f>
        <v>453422</v>
      </c>
      <c r="H18" s="185">
        <f t="shared" si="4"/>
        <v>455133</v>
      </c>
      <c r="I18" s="185">
        <f t="shared" si="4"/>
        <v>456844</v>
      </c>
      <c r="J18" s="185">
        <f t="shared" si="4"/>
        <v>458555</v>
      </c>
      <c r="K18" s="185">
        <f t="shared" si="4"/>
        <v>460266</v>
      </c>
      <c r="L18" s="185">
        <f t="shared" si="4"/>
        <v>461977</v>
      </c>
      <c r="M18" s="185">
        <f t="shared" si="4"/>
        <v>463688</v>
      </c>
      <c r="N18" s="185">
        <f t="shared" si="4"/>
        <v>465399</v>
      </c>
      <c r="O18" s="185">
        <f t="shared" si="4"/>
        <v>467110</v>
      </c>
      <c r="P18" s="185">
        <f t="shared" si="4"/>
        <v>468821</v>
      </c>
      <c r="Q18" s="185">
        <f t="shared" si="4"/>
        <v>470532</v>
      </c>
      <c r="R18" s="185">
        <f t="shared" si="4"/>
        <v>471982</v>
      </c>
      <c r="S18" s="185">
        <f t="shared" si="4"/>
        <v>473432</v>
      </c>
      <c r="T18" s="185">
        <f t="shared" si="4"/>
        <v>474882</v>
      </c>
      <c r="V18" s="1"/>
    </row>
    <row r="19" spans="1:22" x14ac:dyDescent="0.3">
      <c r="A19" s="149"/>
      <c r="B19" s="154"/>
      <c r="C19" s="188" t="s">
        <v>184</v>
      </c>
      <c r="D19" s="154"/>
      <c r="E19" s="154"/>
      <c r="F19" s="189">
        <f>SUM(F17:F18)</f>
        <v>451711</v>
      </c>
      <c r="G19" s="189">
        <f t="shared" ref="G19:T19" si="5">SUM(G17:G18)</f>
        <v>453422</v>
      </c>
      <c r="H19" s="189">
        <f t="shared" si="5"/>
        <v>455133</v>
      </c>
      <c r="I19" s="189">
        <f t="shared" si="5"/>
        <v>456844</v>
      </c>
      <c r="J19" s="189">
        <f t="shared" si="5"/>
        <v>458555</v>
      </c>
      <c r="K19" s="189">
        <f t="shared" si="5"/>
        <v>460266</v>
      </c>
      <c r="L19" s="189">
        <f t="shared" si="5"/>
        <v>461977</v>
      </c>
      <c r="M19" s="189">
        <f t="shared" si="5"/>
        <v>463688</v>
      </c>
      <c r="N19" s="189">
        <f t="shared" si="5"/>
        <v>465399</v>
      </c>
      <c r="O19" s="189">
        <f t="shared" si="5"/>
        <v>467110</v>
      </c>
      <c r="P19" s="189">
        <f t="shared" si="5"/>
        <v>468821</v>
      </c>
      <c r="Q19" s="189">
        <f t="shared" si="5"/>
        <v>470532</v>
      </c>
      <c r="R19" s="189">
        <f t="shared" si="5"/>
        <v>471982</v>
      </c>
      <c r="S19" s="189">
        <f t="shared" si="5"/>
        <v>473432</v>
      </c>
      <c r="T19" s="189">
        <f t="shared" si="5"/>
        <v>474882</v>
      </c>
      <c r="U19" s="162">
        <f>SUM(F19:Q19)</f>
        <v>5533458</v>
      </c>
      <c r="V19" s="1"/>
    </row>
    <row r="20" spans="1:22" x14ac:dyDescent="0.3">
      <c r="A20" s="166"/>
      <c r="B20" s="155"/>
      <c r="C20" s="190" t="s">
        <v>57</v>
      </c>
      <c r="D20" s="155"/>
      <c r="E20" s="155"/>
      <c r="F20" s="191">
        <f>F14+F19</f>
        <v>609295</v>
      </c>
      <c r="G20" s="191">
        <f>G14+G19</f>
        <v>835472.39999999991</v>
      </c>
      <c r="H20" s="191">
        <f t="shared" ref="H20:T20" si="6">H14+H19</f>
        <v>1010132.6</v>
      </c>
      <c r="I20" s="191">
        <f t="shared" si="6"/>
        <v>1259516.3999999999</v>
      </c>
      <c r="J20" s="191">
        <f t="shared" si="6"/>
        <v>1444851.7999999998</v>
      </c>
      <c r="K20" s="191">
        <f t="shared" si="6"/>
        <v>1653786.7999999998</v>
      </c>
      <c r="L20" s="191">
        <f t="shared" si="6"/>
        <v>1849233.4</v>
      </c>
      <c r="M20" s="191">
        <f t="shared" si="6"/>
        <v>2063635.5999999999</v>
      </c>
      <c r="N20" s="191">
        <f t="shared" si="6"/>
        <v>2286765.4</v>
      </c>
      <c r="O20" s="191">
        <f t="shared" si="6"/>
        <v>2548678.7999999998</v>
      </c>
      <c r="P20" s="191">
        <f t="shared" si="6"/>
        <v>2819551.8</v>
      </c>
      <c r="Q20" s="191">
        <f t="shared" si="6"/>
        <v>3094924.4</v>
      </c>
      <c r="R20" s="191">
        <f t="shared" si="6"/>
        <v>3450338.1823999998</v>
      </c>
      <c r="S20" s="191">
        <f t="shared" si="6"/>
        <v>3815220.0959999999</v>
      </c>
      <c r="T20" s="191">
        <f t="shared" si="6"/>
        <v>4187998.1408000002</v>
      </c>
      <c r="U20" s="156">
        <f>SUM(F20:Q20)</f>
        <v>21475844.399999999</v>
      </c>
      <c r="V20" s="1"/>
    </row>
    <row r="21" spans="1:22" x14ac:dyDescent="0.3">
      <c r="C21" s="187" t="s">
        <v>58</v>
      </c>
      <c r="F21"/>
      <c r="I21" s="180"/>
      <c r="K21" s="180"/>
      <c r="S21" s="180"/>
      <c r="T21" s="180"/>
      <c r="V21" s="1"/>
    </row>
    <row r="22" spans="1:22" x14ac:dyDescent="0.3">
      <c r="C22" s="179" t="s">
        <v>185</v>
      </c>
      <c r="F22" s="180"/>
      <c r="G22" s="180"/>
      <c r="Q22" s="180"/>
      <c r="V22" s="1"/>
    </row>
    <row r="23" spans="1:22" x14ac:dyDescent="0.3">
      <c r="C23" s="179" t="s">
        <v>186</v>
      </c>
      <c r="F23"/>
      <c r="H23" s="180"/>
      <c r="J23" s="180"/>
      <c r="V23" s="1"/>
    </row>
    <row r="24" spans="1:22" x14ac:dyDescent="0.3">
      <c r="C24" s="177" t="s">
        <v>187</v>
      </c>
      <c r="F24" s="223">
        <f>'CF 2024'!G52</f>
        <v>-61821</v>
      </c>
      <c r="G24" s="223">
        <f>'CF 2024'!H52</f>
        <v>-81905.200000000012</v>
      </c>
      <c r="H24" s="223">
        <f>'CF 2024'!I52</f>
        <v>-68185</v>
      </c>
      <c r="I24" s="223">
        <f>'CF 2024'!J52</f>
        <v>-86025</v>
      </c>
      <c r="J24" s="223">
        <f>'CF 2024'!K52</f>
        <v>-69172</v>
      </c>
      <c r="K24" s="223">
        <f>'CF 2024'!L52</f>
        <v>-74231</v>
      </c>
      <c r="L24" s="223">
        <f>'CF 2024'!M52</f>
        <v>-70018</v>
      </c>
      <c r="M24" s="223">
        <f>'CF 2024'!N52</f>
        <v>-73916</v>
      </c>
      <c r="N24" s="223">
        <f>'CF 2024'!O52</f>
        <v>-75257</v>
      </c>
      <c r="O24" s="223">
        <f>'CF 2024'!P52</f>
        <v>-84112</v>
      </c>
      <c r="P24" s="223">
        <f>'CF 2024'!Q52</f>
        <v>-85511</v>
      </c>
      <c r="Q24" s="223">
        <f>'CF 2024'!R52</f>
        <v>-85795</v>
      </c>
      <c r="R24" s="223">
        <f>'CF 2024'!S52</f>
        <v>-105029.64560000003</v>
      </c>
      <c r="S24" s="223">
        <f>'CF 2024'!T52</f>
        <v>-106555.77840000001</v>
      </c>
      <c r="T24" s="223">
        <f>'CF 2024'!U52</f>
        <v>-107688.9112</v>
      </c>
      <c r="V24" s="1"/>
    </row>
    <row r="25" spans="1:22" x14ac:dyDescent="0.3">
      <c r="A25" s="154"/>
      <c r="B25" s="154"/>
      <c r="C25" s="181" t="s">
        <v>188</v>
      </c>
      <c r="D25" s="154"/>
      <c r="E25" s="154"/>
      <c r="F25" s="162">
        <f>SUM(F22:F24)</f>
        <v>-61821</v>
      </c>
      <c r="G25" s="162">
        <f t="shared" ref="G25:I25" si="7">SUM(G22:G24)</f>
        <v>-81905.200000000012</v>
      </c>
      <c r="H25" s="162">
        <f t="shared" si="7"/>
        <v>-68185</v>
      </c>
      <c r="I25" s="162">
        <f t="shared" si="7"/>
        <v>-86025</v>
      </c>
      <c r="J25" s="162">
        <f t="shared" ref="J25" si="8">SUM(J22:J24)</f>
        <v>-69172</v>
      </c>
      <c r="K25" s="162">
        <f t="shared" ref="K25:L25" si="9">SUM(K22:K24)</f>
        <v>-74231</v>
      </c>
      <c r="L25" s="162">
        <f t="shared" si="9"/>
        <v>-70018</v>
      </c>
      <c r="M25" s="162">
        <f t="shared" ref="M25" si="10">SUM(M22:M24)</f>
        <v>-73916</v>
      </c>
      <c r="N25" s="162">
        <f t="shared" ref="N25:O25" si="11">SUM(N22:N24)</f>
        <v>-75257</v>
      </c>
      <c r="O25" s="162">
        <f t="shared" si="11"/>
        <v>-84112</v>
      </c>
      <c r="P25" s="162">
        <f t="shared" ref="P25" si="12">SUM(P22:P24)</f>
        <v>-85511</v>
      </c>
      <c r="Q25" s="162">
        <f t="shared" ref="Q25:R25" si="13">SUM(Q22:Q24)</f>
        <v>-85795</v>
      </c>
      <c r="R25" s="162">
        <f t="shared" si="13"/>
        <v>-105029.64560000003</v>
      </c>
      <c r="S25" s="162">
        <f t="shared" ref="S25" si="14">SUM(S22:S24)</f>
        <v>-106555.77840000001</v>
      </c>
      <c r="T25" s="162">
        <f t="shared" ref="T25" si="15">SUM(T22:T24)</f>
        <v>-107688.9112</v>
      </c>
      <c r="U25" s="162">
        <f>SUM(F25:Q25)</f>
        <v>-915948.2</v>
      </c>
      <c r="V25" s="1"/>
    </row>
    <row r="26" spans="1:22" x14ac:dyDescent="0.3">
      <c r="A26" s="155"/>
      <c r="B26" s="155"/>
      <c r="C26" s="192" t="s">
        <v>59</v>
      </c>
      <c r="D26" s="155"/>
      <c r="E26" s="155"/>
      <c r="F26" s="156"/>
      <c r="G26" s="155"/>
      <c r="H26" s="155"/>
      <c r="I26" s="156"/>
      <c r="J26" s="155"/>
      <c r="K26" s="156"/>
      <c r="L26" s="193"/>
      <c r="M26" s="193"/>
      <c r="N26" s="193"/>
      <c r="O26" s="193"/>
      <c r="P26" s="193"/>
      <c r="Q26" s="155"/>
      <c r="R26" s="193"/>
      <c r="S26" s="156"/>
      <c r="T26" s="156"/>
      <c r="U26" s="155"/>
      <c r="V26" s="1"/>
    </row>
    <row r="27" spans="1:22" x14ac:dyDescent="0.3">
      <c r="C27" s="176" t="s">
        <v>189</v>
      </c>
      <c r="F27" s="185">
        <v>-550000</v>
      </c>
      <c r="G27" s="185">
        <f>F27-'CF 2024'!H34</f>
        <v>-533182</v>
      </c>
      <c r="H27" s="185">
        <f>G27-'CF 2024'!I34</f>
        <v>-516364</v>
      </c>
      <c r="I27" s="185">
        <f>H27-'CF 2024'!J34</f>
        <v>-499546</v>
      </c>
      <c r="J27" s="185">
        <f>I27-'CF 2024'!K34</f>
        <v>-482728</v>
      </c>
      <c r="K27" s="185">
        <f>J27-'CF 2024'!L34</f>
        <v>-465910</v>
      </c>
      <c r="L27" s="185">
        <f>K27-'CF 2024'!M34</f>
        <v>-449092</v>
      </c>
      <c r="M27" s="185">
        <f>L27-'CF 2024'!N34</f>
        <v>-432274</v>
      </c>
      <c r="N27" s="185">
        <f>M27-'CF 2024'!O34</f>
        <v>-415456</v>
      </c>
      <c r="O27" s="185">
        <f>N27-'CF 2024'!P34</f>
        <v>-398638</v>
      </c>
      <c r="P27" s="185">
        <f>O27-'CF 2024'!Q34</f>
        <v>-381820</v>
      </c>
      <c r="Q27" s="185">
        <f>P27-'CF 2024'!R34</f>
        <v>-365002</v>
      </c>
      <c r="R27" s="185">
        <f>'BS 2025'!F27</f>
        <v>-348184</v>
      </c>
      <c r="S27" s="185">
        <f>'BS 2025'!G27</f>
        <v>-331366</v>
      </c>
      <c r="T27" s="185">
        <f>'BS 2025'!H27</f>
        <v>-314548</v>
      </c>
      <c r="U27" s="223">
        <f>SUM(F27:Q27)</f>
        <v>-5490012</v>
      </c>
      <c r="V27" s="1"/>
    </row>
    <row r="28" spans="1:22" ht="12.6" customHeight="1" x14ac:dyDescent="0.3">
      <c r="C28" s="177"/>
      <c r="F28"/>
      <c r="J28" s="178" t="s">
        <v>195</v>
      </c>
      <c r="U28" s="357"/>
      <c r="V28" s="1"/>
    </row>
    <row r="29" spans="1:22" x14ac:dyDescent="0.3">
      <c r="C29" s="176" t="s">
        <v>190</v>
      </c>
      <c r="F29" s="178"/>
      <c r="G29" s="178"/>
      <c r="H29" s="178"/>
      <c r="Q29" s="178"/>
      <c r="U29" s="357"/>
      <c r="V29" s="1"/>
    </row>
    <row r="30" spans="1:22" x14ac:dyDescent="0.3">
      <c r="C30" s="179" t="s">
        <v>198</v>
      </c>
      <c r="F30" s="178"/>
      <c r="G30" s="178"/>
      <c r="H30" s="178"/>
      <c r="Q30" s="178"/>
      <c r="U30" s="357"/>
      <c r="V30" s="1"/>
    </row>
    <row r="31" spans="1:22" x14ac:dyDescent="0.3">
      <c r="C31" s="176" t="s">
        <v>191</v>
      </c>
      <c r="F31" s="185">
        <f>SUM(F27:F29)</f>
        <v>-550000</v>
      </c>
      <c r="G31" s="185">
        <f t="shared" ref="G31:T31" si="16">SUM(G27:G29)</f>
        <v>-533182</v>
      </c>
      <c r="H31" s="185">
        <f t="shared" si="16"/>
        <v>-516364</v>
      </c>
      <c r="I31" s="185">
        <f t="shared" si="16"/>
        <v>-499546</v>
      </c>
      <c r="J31" s="185">
        <f t="shared" si="16"/>
        <v>-482728</v>
      </c>
      <c r="K31" s="185">
        <f t="shared" si="16"/>
        <v>-465910</v>
      </c>
      <c r="L31" s="185">
        <f t="shared" si="16"/>
        <v>-449092</v>
      </c>
      <c r="M31" s="185">
        <f t="shared" si="16"/>
        <v>-432274</v>
      </c>
      <c r="N31" s="185">
        <f t="shared" si="16"/>
        <v>-415456</v>
      </c>
      <c r="O31" s="185">
        <f t="shared" si="16"/>
        <v>-398638</v>
      </c>
      <c r="P31" s="185">
        <f t="shared" si="16"/>
        <v>-381820</v>
      </c>
      <c r="Q31" s="185">
        <f t="shared" si="16"/>
        <v>-365002</v>
      </c>
      <c r="R31" s="185">
        <f t="shared" si="16"/>
        <v>-348184</v>
      </c>
      <c r="S31" s="185">
        <f t="shared" si="16"/>
        <v>-331366</v>
      </c>
      <c r="T31" s="185">
        <f t="shared" si="16"/>
        <v>-314548</v>
      </c>
      <c r="U31" s="357"/>
      <c r="V31" s="1"/>
    </row>
    <row r="32" spans="1:22" x14ac:dyDescent="0.3">
      <c r="C32" s="176" t="s">
        <v>60</v>
      </c>
      <c r="F32" s="185">
        <f>F31+F24</f>
        <v>-611821</v>
      </c>
      <c r="G32" s="185">
        <f t="shared" ref="G32:I32" si="17">G31+G24</f>
        <v>-615087.19999999995</v>
      </c>
      <c r="H32" s="185">
        <f t="shared" si="17"/>
        <v>-584549</v>
      </c>
      <c r="I32" s="185">
        <f t="shared" si="17"/>
        <v>-585571</v>
      </c>
      <c r="J32" s="185">
        <f t="shared" ref="J32" si="18">J31+J24</f>
        <v>-551900</v>
      </c>
      <c r="K32" s="185">
        <f t="shared" ref="K32:L32" si="19">K31+K24</f>
        <v>-540141</v>
      </c>
      <c r="L32" s="185">
        <f t="shared" si="19"/>
        <v>-519110</v>
      </c>
      <c r="M32" s="185">
        <f t="shared" ref="M32" si="20">M31+M24</f>
        <v>-506190</v>
      </c>
      <c r="N32" s="185">
        <f t="shared" ref="N32:O32" si="21">N31+N24</f>
        <v>-490713</v>
      </c>
      <c r="O32" s="185">
        <f t="shared" si="21"/>
        <v>-482750</v>
      </c>
      <c r="P32" s="185">
        <f t="shared" ref="P32" si="22">P31+P24</f>
        <v>-467331</v>
      </c>
      <c r="Q32" s="185">
        <f t="shared" ref="Q32:R32" si="23">Q31+Q24</f>
        <v>-450797</v>
      </c>
      <c r="R32" s="185">
        <f t="shared" si="23"/>
        <v>-453213.64560000005</v>
      </c>
      <c r="S32" s="185">
        <f t="shared" ref="S32" si="24">S31+S24</f>
        <v>-437921.77840000001</v>
      </c>
      <c r="T32" s="185">
        <f t="shared" ref="T32" si="25">T31+T24</f>
        <v>-422236.91119999997</v>
      </c>
      <c r="U32" s="357"/>
      <c r="V32" s="1"/>
    </row>
    <row r="33" spans="3:22" x14ac:dyDescent="0.3">
      <c r="C33" s="176" t="s">
        <v>61</v>
      </c>
      <c r="F33" s="222">
        <f>F20+F32</f>
        <v>-2526</v>
      </c>
      <c r="G33" s="222">
        <f t="shared" ref="G33:Q33" si="26">G20+G32</f>
        <v>220385.19999999995</v>
      </c>
      <c r="H33" s="222">
        <f t="shared" si="26"/>
        <v>425583.6</v>
      </c>
      <c r="I33" s="222">
        <f t="shared" si="26"/>
        <v>673945.39999999991</v>
      </c>
      <c r="J33" s="222">
        <f t="shared" si="26"/>
        <v>892951.79999999981</v>
      </c>
      <c r="K33" s="222">
        <f t="shared" si="26"/>
        <v>1113645.7999999998</v>
      </c>
      <c r="L33" s="222">
        <f t="shared" si="26"/>
        <v>1330123.3999999999</v>
      </c>
      <c r="M33" s="222">
        <f t="shared" si="26"/>
        <v>1557445.5999999999</v>
      </c>
      <c r="N33" s="222">
        <f t="shared" si="26"/>
        <v>1796052.4</v>
      </c>
      <c r="O33" s="222">
        <f t="shared" si="26"/>
        <v>2065928.7999999998</v>
      </c>
      <c r="P33" s="222">
        <f t="shared" si="26"/>
        <v>2352220.7999999998</v>
      </c>
      <c r="Q33" s="222">
        <f t="shared" si="26"/>
        <v>2644127.4</v>
      </c>
      <c r="R33" s="222">
        <f t="shared" ref="R33" si="27">R20+R32</f>
        <v>2997124.5367999999</v>
      </c>
      <c r="S33" s="222">
        <f t="shared" ref="S33" si="28">S20+S32</f>
        <v>3377298.3175999997</v>
      </c>
      <c r="T33" s="222">
        <f t="shared" ref="T33" si="29">T20+T32</f>
        <v>3765761.2296000002</v>
      </c>
      <c r="U33" s="379">
        <f>SUM(F33:Q33)</f>
        <v>15069884.200000001</v>
      </c>
      <c r="V33" s="1"/>
    </row>
    <row r="34" spans="3:22" x14ac:dyDescent="0.3">
      <c r="C34" s="179" t="s">
        <v>63</v>
      </c>
      <c r="F34" s="177"/>
      <c r="G34" s="177"/>
      <c r="H34" s="177"/>
      <c r="I34" s="177"/>
      <c r="J34" s="178"/>
      <c r="K34" s="178"/>
      <c r="L34" s="178"/>
      <c r="M34" s="178"/>
      <c r="N34" s="178"/>
      <c r="O34" s="178"/>
      <c r="P34" s="178"/>
      <c r="Q34" s="177"/>
      <c r="R34" s="178"/>
      <c r="S34" s="178"/>
      <c r="T34" s="178"/>
      <c r="V34" s="1"/>
    </row>
    <row r="35" spans="3:22" x14ac:dyDescent="0.3">
      <c r="C35" s="179" t="s">
        <v>65</v>
      </c>
      <c r="F35" s="178">
        <f>SUM(F33:F34)</f>
        <v>-2526</v>
      </c>
      <c r="G35" s="178">
        <f t="shared" ref="G35:T35" si="30">SUM(G33:G34)</f>
        <v>220385.19999999995</v>
      </c>
      <c r="H35" s="178">
        <f t="shared" si="30"/>
        <v>425583.6</v>
      </c>
      <c r="I35" s="178">
        <f t="shared" si="30"/>
        <v>673945.39999999991</v>
      </c>
      <c r="J35" s="178">
        <f t="shared" si="30"/>
        <v>892951.79999999981</v>
      </c>
      <c r="K35" s="178">
        <f t="shared" si="30"/>
        <v>1113645.7999999998</v>
      </c>
      <c r="L35" s="178">
        <f t="shared" si="30"/>
        <v>1330123.3999999999</v>
      </c>
      <c r="M35" s="178">
        <f t="shared" si="30"/>
        <v>1557445.5999999999</v>
      </c>
      <c r="N35" s="178">
        <f t="shared" si="30"/>
        <v>1796052.4</v>
      </c>
      <c r="O35" s="178">
        <f t="shared" si="30"/>
        <v>2065928.7999999998</v>
      </c>
      <c r="P35" s="178">
        <f t="shared" si="30"/>
        <v>2352220.7999999998</v>
      </c>
      <c r="Q35" s="178">
        <f t="shared" si="30"/>
        <v>2644127.4</v>
      </c>
      <c r="R35" s="178">
        <f t="shared" si="30"/>
        <v>2997124.5367999999</v>
      </c>
      <c r="S35" s="178">
        <f t="shared" si="30"/>
        <v>3377298.3175999997</v>
      </c>
      <c r="T35" s="178">
        <f t="shared" si="30"/>
        <v>3765761.2296000002</v>
      </c>
      <c r="V35" s="1"/>
    </row>
    <row r="36" spans="3:22" x14ac:dyDescent="0.3">
      <c r="C36" s="186" t="s">
        <v>66</v>
      </c>
      <c r="F36" s="178">
        <f>F34+F35</f>
        <v>-2526</v>
      </c>
      <c r="G36" s="178">
        <f t="shared" ref="G36:T36" si="31">G34+G35</f>
        <v>220385.19999999995</v>
      </c>
      <c r="H36" s="178">
        <f t="shared" si="31"/>
        <v>425583.6</v>
      </c>
      <c r="I36" s="178">
        <f t="shared" si="31"/>
        <v>673945.39999999991</v>
      </c>
      <c r="J36" s="178">
        <f t="shared" si="31"/>
        <v>892951.79999999981</v>
      </c>
      <c r="K36" s="178">
        <f t="shared" si="31"/>
        <v>1113645.7999999998</v>
      </c>
      <c r="L36" s="178">
        <f t="shared" si="31"/>
        <v>1330123.3999999999</v>
      </c>
      <c r="M36" s="178">
        <f t="shared" si="31"/>
        <v>1557445.5999999999</v>
      </c>
      <c r="N36" s="178">
        <f t="shared" si="31"/>
        <v>1796052.4</v>
      </c>
      <c r="O36" s="178">
        <f t="shared" si="31"/>
        <v>2065928.7999999998</v>
      </c>
      <c r="P36" s="178">
        <f t="shared" si="31"/>
        <v>2352220.7999999998</v>
      </c>
      <c r="Q36" s="178">
        <f t="shared" si="31"/>
        <v>2644127.4</v>
      </c>
      <c r="R36" s="178">
        <f t="shared" si="31"/>
        <v>2997124.5367999999</v>
      </c>
      <c r="S36" s="178">
        <f t="shared" si="31"/>
        <v>3377298.3175999997</v>
      </c>
      <c r="T36" s="178">
        <f t="shared" si="31"/>
        <v>3765761.2296000002</v>
      </c>
      <c r="V36" s="1"/>
    </row>
    <row r="37" spans="3:22" x14ac:dyDescent="0.3">
      <c r="C37" s="179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V37" s="1"/>
    </row>
    <row r="38" spans="3:22" x14ac:dyDescent="0.3">
      <c r="C38" s="179" t="s">
        <v>192</v>
      </c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V38" s="1"/>
    </row>
    <row r="39" spans="3:22" x14ac:dyDescent="0.3">
      <c r="C39" s="179" t="s">
        <v>193</v>
      </c>
      <c r="F39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V39" s="1"/>
    </row>
    <row r="40" spans="3:22" x14ac:dyDescent="0.3">
      <c r="C40" s="179" t="s">
        <v>194</v>
      </c>
      <c r="F40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V40" s="1"/>
    </row>
    <row r="41" spans="3:22" x14ac:dyDescent="0.3">
      <c r="C41" s="179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</sheetData>
  <phoneticPr fontId="7" type="noConversion"/>
  <pageMargins left="0.7" right="0.7" top="0.75" bottom="0.75" header="0.3" footer="0.3"/>
  <ignoredErrors>
    <ignoredError sqref="F19:G19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514D8-2720-4BB1-81B2-2B35C4DE18E8}">
  <sheetPr codeName="Sheet20"/>
  <dimension ref="B5:BL51"/>
  <sheetViews>
    <sheetView topLeftCell="A22" workbookViewId="0">
      <selection activeCell="BF40" sqref="BF40:BG40"/>
    </sheetView>
  </sheetViews>
  <sheetFormatPr defaultRowHeight="14.4" x14ac:dyDescent="0.3"/>
  <cols>
    <col min="1" max="1" width="3.44140625" customWidth="1"/>
    <col min="2" max="2" width="23.5546875" customWidth="1"/>
    <col min="3" max="3" width="8.5546875" customWidth="1"/>
    <col min="4" max="4" width="12.33203125" customWidth="1"/>
  </cols>
  <sheetData>
    <row r="5" spans="2:15" x14ac:dyDescent="0.3">
      <c r="B5" s="154" t="s">
        <v>299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2:15" x14ac:dyDescent="0.3">
      <c r="B6" s="248" t="s">
        <v>70</v>
      </c>
      <c r="C6" s="248"/>
      <c r="D6" s="249" t="s">
        <v>32</v>
      </c>
      <c r="E6" s="249" t="s">
        <v>33</v>
      </c>
      <c r="F6" s="249" t="s">
        <v>34</v>
      </c>
      <c r="G6" s="249" t="s">
        <v>35</v>
      </c>
      <c r="H6" s="249" t="s">
        <v>36</v>
      </c>
      <c r="I6" s="249" t="s">
        <v>37</v>
      </c>
      <c r="J6" s="249" t="s">
        <v>38</v>
      </c>
      <c r="K6" s="249" t="s">
        <v>39</v>
      </c>
      <c r="L6" s="249" t="s">
        <v>40</v>
      </c>
      <c r="M6" s="249" t="s">
        <v>41</v>
      </c>
      <c r="N6" s="249" t="s">
        <v>42</v>
      </c>
      <c r="O6" s="249" t="s">
        <v>43</v>
      </c>
    </row>
    <row r="7" spans="2:15" x14ac:dyDescent="0.3">
      <c r="B7" t="s">
        <v>71</v>
      </c>
      <c r="D7" s="9">
        <v>82</v>
      </c>
      <c r="E7" s="9">
        <v>88</v>
      </c>
      <c r="F7" s="9">
        <v>90</v>
      </c>
      <c r="G7" s="9">
        <v>90</v>
      </c>
      <c r="H7" s="9">
        <v>90</v>
      </c>
      <c r="I7" s="9">
        <v>90</v>
      </c>
      <c r="J7" s="9">
        <v>90</v>
      </c>
      <c r="K7" s="9">
        <v>90</v>
      </c>
      <c r="L7" s="9">
        <v>90</v>
      </c>
      <c r="M7" s="9">
        <v>90</v>
      </c>
      <c r="N7" s="9">
        <v>90</v>
      </c>
      <c r="O7" s="9">
        <v>90</v>
      </c>
    </row>
    <row r="8" spans="2:15" x14ac:dyDescent="0.3">
      <c r="B8" t="s">
        <v>72</v>
      </c>
      <c r="D8" s="9">
        <v>90</v>
      </c>
      <c r="E8" s="9">
        <v>90</v>
      </c>
      <c r="F8" s="9">
        <v>90</v>
      </c>
      <c r="G8" s="9">
        <v>90</v>
      </c>
      <c r="H8" s="9">
        <v>90</v>
      </c>
      <c r="I8" s="9">
        <v>90</v>
      </c>
      <c r="J8" s="9">
        <v>90</v>
      </c>
      <c r="K8" s="9">
        <v>90</v>
      </c>
      <c r="L8" s="9">
        <v>90</v>
      </c>
      <c r="M8" s="9">
        <v>90</v>
      </c>
      <c r="N8" s="9">
        <v>90</v>
      </c>
      <c r="O8" s="9">
        <v>90</v>
      </c>
    </row>
    <row r="9" spans="2:15" x14ac:dyDescent="0.3">
      <c r="B9" t="s">
        <v>1</v>
      </c>
      <c r="D9" s="9">
        <v>90</v>
      </c>
      <c r="E9" s="9">
        <v>90</v>
      </c>
      <c r="F9" s="9">
        <v>90</v>
      </c>
      <c r="G9" s="9">
        <v>90</v>
      </c>
      <c r="H9" s="9">
        <v>90</v>
      </c>
      <c r="I9" s="9">
        <v>90</v>
      </c>
      <c r="J9" s="9">
        <v>90</v>
      </c>
      <c r="K9" s="9">
        <v>90</v>
      </c>
      <c r="L9" s="9">
        <v>90</v>
      </c>
      <c r="M9" s="9">
        <v>90</v>
      </c>
      <c r="N9" s="9">
        <v>90</v>
      </c>
      <c r="O9" s="9">
        <v>90</v>
      </c>
    </row>
    <row r="11" spans="2:15" x14ac:dyDescent="0.3">
      <c r="B11" s="154" t="s">
        <v>300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</row>
    <row r="12" spans="2:15" x14ac:dyDescent="0.3">
      <c r="B12" s="248" t="s">
        <v>70</v>
      </c>
      <c r="C12" s="248"/>
      <c r="D12" s="249" t="s">
        <v>32</v>
      </c>
      <c r="E12" s="249" t="s">
        <v>33</v>
      </c>
      <c r="F12" s="249" t="s">
        <v>34</v>
      </c>
      <c r="G12" s="249" t="s">
        <v>35</v>
      </c>
      <c r="H12" s="249" t="s">
        <v>36</v>
      </c>
      <c r="I12" s="249" t="s">
        <v>37</v>
      </c>
      <c r="J12" s="249" t="s">
        <v>38</v>
      </c>
      <c r="K12" s="249" t="s">
        <v>39</v>
      </c>
      <c r="L12" s="249" t="s">
        <v>40</v>
      </c>
      <c r="M12" s="249" t="s">
        <v>41</v>
      </c>
      <c r="N12" s="249" t="s">
        <v>42</v>
      </c>
      <c r="O12" s="249" t="s">
        <v>43</v>
      </c>
    </row>
    <row r="13" spans="2:15" x14ac:dyDescent="0.3">
      <c r="B13" t="s">
        <v>71</v>
      </c>
      <c r="D13" s="9">
        <v>90</v>
      </c>
      <c r="E13" s="9">
        <v>90</v>
      </c>
      <c r="F13" s="9">
        <v>90</v>
      </c>
      <c r="G13" s="9">
        <v>90</v>
      </c>
      <c r="H13" s="9">
        <v>90</v>
      </c>
      <c r="I13" s="9">
        <v>90</v>
      </c>
      <c r="J13" s="9">
        <v>90</v>
      </c>
      <c r="K13" s="9">
        <v>90</v>
      </c>
      <c r="L13" s="9">
        <v>90</v>
      </c>
      <c r="M13" s="9">
        <v>90</v>
      </c>
      <c r="N13" s="9">
        <v>90</v>
      </c>
      <c r="O13" s="9">
        <v>90</v>
      </c>
    </row>
    <row r="14" spans="2:15" x14ac:dyDescent="0.3">
      <c r="B14" t="s">
        <v>72</v>
      </c>
      <c r="D14" s="9">
        <v>65</v>
      </c>
      <c r="E14" s="9">
        <v>65</v>
      </c>
      <c r="F14" s="9">
        <v>65</v>
      </c>
      <c r="G14" s="9">
        <v>70</v>
      </c>
      <c r="H14" s="9">
        <v>70</v>
      </c>
      <c r="I14" s="9">
        <v>70</v>
      </c>
      <c r="J14" s="9">
        <v>80</v>
      </c>
      <c r="K14" s="9">
        <v>80</v>
      </c>
      <c r="L14" s="9">
        <v>80</v>
      </c>
      <c r="M14" s="9">
        <v>80</v>
      </c>
      <c r="N14" s="9">
        <v>80</v>
      </c>
      <c r="O14" s="9">
        <v>90</v>
      </c>
    </row>
    <row r="15" spans="2:15" x14ac:dyDescent="0.3">
      <c r="B15" t="s">
        <v>1</v>
      </c>
      <c r="D15" s="9">
        <v>35</v>
      </c>
      <c r="E15" s="9">
        <v>35</v>
      </c>
      <c r="F15" s="9">
        <v>35</v>
      </c>
      <c r="G15" s="9">
        <v>35</v>
      </c>
      <c r="H15" s="9">
        <v>40</v>
      </c>
      <c r="I15" s="9">
        <v>40</v>
      </c>
      <c r="J15" s="9">
        <v>40</v>
      </c>
      <c r="K15" s="9">
        <v>45</v>
      </c>
      <c r="L15" s="9">
        <v>45</v>
      </c>
      <c r="M15" s="9">
        <v>45</v>
      </c>
      <c r="N15" s="9">
        <v>45</v>
      </c>
      <c r="O15" s="9">
        <v>45</v>
      </c>
    </row>
    <row r="17" spans="2:16" x14ac:dyDescent="0.3">
      <c r="B17" s="154" t="s">
        <v>301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</row>
    <row r="18" spans="2:16" x14ac:dyDescent="0.3">
      <c r="B18" s="248" t="s">
        <v>70</v>
      </c>
      <c r="C18" s="248"/>
      <c r="D18" s="249" t="s">
        <v>32</v>
      </c>
      <c r="E18" s="249" t="s">
        <v>33</v>
      </c>
      <c r="F18" s="249" t="s">
        <v>34</v>
      </c>
      <c r="G18" s="249" t="s">
        <v>35</v>
      </c>
      <c r="H18" s="249" t="s">
        <v>36</v>
      </c>
      <c r="I18" s="249" t="s">
        <v>37</v>
      </c>
      <c r="J18" s="249" t="s">
        <v>38</v>
      </c>
      <c r="K18" s="249" t="s">
        <v>39</v>
      </c>
      <c r="L18" s="249" t="s">
        <v>40</v>
      </c>
      <c r="M18" s="249" t="s">
        <v>41</v>
      </c>
      <c r="N18" s="249" t="s">
        <v>42</v>
      </c>
      <c r="O18" s="249" t="s">
        <v>43</v>
      </c>
    </row>
    <row r="19" spans="2:16" x14ac:dyDescent="0.3">
      <c r="B19" t="s">
        <v>71</v>
      </c>
      <c r="D19" s="14">
        <f>D7/D13</f>
        <v>0.91111111111111109</v>
      </c>
      <c r="E19" s="14">
        <f t="shared" ref="E19:O19" si="0">E7/E13</f>
        <v>0.97777777777777775</v>
      </c>
      <c r="F19" s="14">
        <f t="shared" si="0"/>
        <v>1</v>
      </c>
      <c r="G19" s="14">
        <f t="shared" si="0"/>
        <v>1</v>
      </c>
      <c r="H19" s="14">
        <f t="shared" si="0"/>
        <v>1</v>
      </c>
      <c r="I19" s="14">
        <f t="shared" si="0"/>
        <v>1</v>
      </c>
      <c r="J19" s="14">
        <f t="shared" si="0"/>
        <v>1</v>
      </c>
      <c r="K19" s="14">
        <f t="shared" si="0"/>
        <v>1</v>
      </c>
      <c r="L19" s="14">
        <f t="shared" si="0"/>
        <v>1</v>
      </c>
      <c r="M19" s="14">
        <f t="shared" si="0"/>
        <v>1</v>
      </c>
      <c r="N19" s="14">
        <f t="shared" si="0"/>
        <v>1</v>
      </c>
      <c r="O19" s="14">
        <f t="shared" si="0"/>
        <v>1</v>
      </c>
    </row>
    <row r="20" spans="2:16" x14ac:dyDescent="0.3">
      <c r="B20" t="s">
        <v>72</v>
      </c>
      <c r="D20" s="14">
        <f>D14/D8</f>
        <v>0.72222222222222221</v>
      </c>
      <c r="E20" s="14">
        <f t="shared" ref="E20:O20" si="1">E14/E8</f>
        <v>0.72222222222222221</v>
      </c>
      <c r="F20" s="14">
        <f t="shared" si="1"/>
        <v>0.72222222222222221</v>
      </c>
      <c r="G20" s="14">
        <f t="shared" si="1"/>
        <v>0.77777777777777779</v>
      </c>
      <c r="H20" s="14">
        <f t="shared" si="1"/>
        <v>0.77777777777777779</v>
      </c>
      <c r="I20" s="14">
        <f t="shared" si="1"/>
        <v>0.77777777777777779</v>
      </c>
      <c r="J20" s="14">
        <f t="shared" si="1"/>
        <v>0.88888888888888884</v>
      </c>
      <c r="K20" s="14">
        <f t="shared" si="1"/>
        <v>0.88888888888888884</v>
      </c>
      <c r="L20" s="14">
        <f t="shared" si="1"/>
        <v>0.88888888888888884</v>
      </c>
      <c r="M20" s="14">
        <f t="shared" si="1"/>
        <v>0.88888888888888884</v>
      </c>
      <c r="N20" s="14">
        <f t="shared" si="1"/>
        <v>0.88888888888888884</v>
      </c>
      <c r="O20" s="14">
        <f t="shared" si="1"/>
        <v>1</v>
      </c>
    </row>
    <row r="21" spans="2:16" x14ac:dyDescent="0.3">
      <c r="B21" t="s">
        <v>1</v>
      </c>
      <c r="D21" s="14">
        <f>D15/D9</f>
        <v>0.3888888888888889</v>
      </c>
      <c r="E21" s="14">
        <f t="shared" ref="E21:O21" si="2">E15/E9</f>
        <v>0.3888888888888889</v>
      </c>
      <c r="F21" s="14">
        <f t="shared" si="2"/>
        <v>0.3888888888888889</v>
      </c>
      <c r="G21" s="14">
        <f t="shared" si="2"/>
        <v>0.3888888888888889</v>
      </c>
      <c r="H21" s="14">
        <f t="shared" si="2"/>
        <v>0.44444444444444442</v>
      </c>
      <c r="I21" s="14">
        <f t="shared" si="2"/>
        <v>0.44444444444444442</v>
      </c>
      <c r="J21" s="14">
        <f t="shared" si="2"/>
        <v>0.44444444444444442</v>
      </c>
      <c r="K21" s="14">
        <f t="shared" si="2"/>
        <v>0.5</v>
      </c>
      <c r="L21" s="14">
        <f t="shared" si="2"/>
        <v>0.5</v>
      </c>
      <c r="M21" s="14">
        <f t="shared" si="2"/>
        <v>0.5</v>
      </c>
      <c r="N21" s="14">
        <f t="shared" si="2"/>
        <v>0.5</v>
      </c>
      <c r="O21" s="14">
        <f t="shared" si="2"/>
        <v>0.5</v>
      </c>
    </row>
    <row r="25" spans="2:16" ht="18" x14ac:dyDescent="0.35">
      <c r="B25" s="469" t="s">
        <v>74</v>
      </c>
      <c r="C25" s="469"/>
      <c r="D25" s="469"/>
      <c r="E25" s="469"/>
      <c r="F25" s="469"/>
      <c r="G25" s="46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">
      <c r="B27" s="181" t="s">
        <v>218</v>
      </c>
      <c r="C27" s="181" t="s">
        <v>70</v>
      </c>
      <c r="D27" s="181"/>
      <c r="E27" s="213" t="s">
        <v>32</v>
      </c>
      <c r="F27" s="213" t="s">
        <v>33</v>
      </c>
      <c r="G27" s="213" t="s">
        <v>34</v>
      </c>
      <c r="H27" s="213" t="s">
        <v>35</v>
      </c>
      <c r="I27" s="213" t="s">
        <v>36</v>
      </c>
      <c r="J27" s="213" t="s">
        <v>37</v>
      </c>
      <c r="K27" s="213" t="s">
        <v>38</v>
      </c>
      <c r="L27" s="213" t="s">
        <v>39</v>
      </c>
      <c r="M27" s="213" t="s">
        <v>40</v>
      </c>
      <c r="N27" s="213" t="s">
        <v>41</v>
      </c>
      <c r="O27" s="213" t="s">
        <v>42</v>
      </c>
      <c r="P27" s="213" t="s">
        <v>43</v>
      </c>
    </row>
    <row r="28" spans="2:16" x14ac:dyDescent="0.3">
      <c r="B28" s="25" t="s">
        <v>261</v>
      </c>
      <c r="E28" s="9">
        <v>60</v>
      </c>
      <c r="F28" s="9">
        <v>60</v>
      </c>
      <c r="G28" s="9">
        <v>60</v>
      </c>
      <c r="H28" s="9">
        <v>60</v>
      </c>
      <c r="I28" s="9">
        <v>60</v>
      </c>
      <c r="J28" s="9">
        <v>60</v>
      </c>
      <c r="K28" s="9">
        <v>60</v>
      </c>
      <c r="L28" s="9">
        <v>60</v>
      </c>
      <c r="M28" s="9">
        <v>60</v>
      </c>
      <c r="N28" s="9">
        <v>60</v>
      </c>
      <c r="O28" s="9">
        <v>60</v>
      </c>
      <c r="P28" s="9">
        <v>60</v>
      </c>
    </row>
    <row r="29" spans="2:16" x14ac:dyDescent="0.3">
      <c r="B29" s="25" t="s">
        <v>262</v>
      </c>
      <c r="E29" s="9">
        <v>30</v>
      </c>
      <c r="F29" s="9">
        <v>30</v>
      </c>
      <c r="G29" s="9">
        <v>30</v>
      </c>
      <c r="H29" s="9">
        <v>30</v>
      </c>
      <c r="I29" s="9">
        <v>30</v>
      </c>
      <c r="J29" s="9">
        <v>30</v>
      </c>
      <c r="K29" s="9">
        <v>30</v>
      </c>
      <c r="L29" s="9">
        <v>30</v>
      </c>
      <c r="M29" s="9">
        <v>30</v>
      </c>
      <c r="N29" s="9">
        <v>30</v>
      </c>
      <c r="O29" s="9">
        <v>30</v>
      </c>
      <c r="P29" s="9">
        <v>30</v>
      </c>
    </row>
    <row r="31" spans="2:16" x14ac:dyDescent="0.3">
      <c r="B31" s="181" t="s">
        <v>97</v>
      </c>
      <c r="C31" s="181" t="s">
        <v>70</v>
      </c>
      <c r="D31" s="181"/>
      <c r="E31" s="213" t="s">
        <v>32</v>
      </c>
      <c r="F31" s="213" t="s">
        <v>33</v>
      </c>
      <c r="G31" s="213" t="s">
        <v>34</v>
      </c>
      <c r="H31" s="213" t="s">
        <v>35</v>
      </c>
      <c r="I31" s="213" t="s">
        <v>36</v>
      </c>
      <c r="J31" s="213" t="s">
        <v>37</v>
      </c>
      <c r="K31" s="213" t="s">
        <v>38</v>
      </c>
      <c r="L31" s="213" t="s">
        <v>39</v>
      </c>
      <c r="M31" s="213" t="s">
        <v>40</v>
      </c>
      <c r="N31" s="213" t="s">
        <v>41</v>
      </c>
      <c r="O31" s="213" t="s">
        <v>42</v>
      </c>
      <c r="P31" s="213" t="s">
        <v>43</v>
      </c>
    </row>
    <row r="32" spans="2:16" x14ac:dyDescent="0.3">
      <c r="B32" s="25" t="s">
        <v>261</v>
      </c>
      <c r="E32" s="9">
        <v>35</v>
      </c>
      <c r="F32" s="9">
        <v>35</v>
      </c>
      <c r="G32" s="9">
        <v>55</v>
      </c>
      <c r="H32" s="9">
        <v>60</v>
      </c>
      <c r="I32" s="9">
        <v>60</v>
      </c>
      <c r="J32" s="9">
        <v>60</v>
      </c>
      <c r="K32" s="9">
        <v>60</v>
      </c>
      <c r="L32" s="9">
        <v>60</v>
      </c>
      <c r="M32" s="9">
        <v>40</v>
      </c>
      <c r="N32" s="9">
        <v>60</v>
      </c>
      <c r="O32" s="9">
        <v>60</v>
      </c>
      <c r="P32" s="9">
        <v>60</v>
      </c>
    </row>
    <row r="33" spans="2:64" x14ac:dyDescent="0.3">
      <c r="B33" s="25" t="s">
        <v>262</v>
      </c>
      <c r="E33" s="9">
        <v>20</v>
      </c>
      <c r="F33" s="9">
        <v>20</v>
      </c>
      <c r="G33" s="9">
        <v>20</v>
      </c>
      <c r="H33" s="9">
        <v>30</v>
      </c>
      <c r="I33" s="9">
        <v>30</v>
      </c>
      <c r="J33" s="9">
        <v>30</v>
      </c>
      <c r="K33" s="9">
        <v>30</v>
      </c>
      <c r="L33" s="9">
        <v>30</v>
      </c>
      <c r="M33" s="9">
        <v>20</v>
      </c>
      <c r="N33" s="9">
        <v>30</v>
      </c>
      <c r="O33" s="9">
        <v>30</v>
      </c>
      <c r="P33" s="9">
        <v>30</v>
      </c>
    </row>
    <row r="35" spans="2:64" x14ac:dyDescent="0.3">
      <c r="B35" s="154"/>
      <c r="C35" s="181" t="s">
        <v>70</v>
      </c>
      <c r="D35" s="181"/>
      <c r="E35" s="213" t="s">
        <v>32</v>
      </c>
      <c r="F35" s="213" t="s">
        <v>33</v>
      </c>
      <c r="G35" s="213" t="s">
        <v>34</v>
      </c>
      <c r="H35" s="213" t="s">
        <v>35</v>
      </c>
      <c r="I35" s="213" t="s">
        <v>36</v>
      </c>
      <c r="J35" s="213" t="s">
        <v>37</v>
      </c>
      <c r="K35" s="213" t="s">
        <v>38</v>
      </c>
      <c r="L35" s="213" t="s">
        <v>39</v>
      </c>
      <c r="M35" s="213" t="s">
        <v>40</v>
      </c>
      <c r="N35" s="213" t="s">
        <v>41</v>
      </c>
      <c r="O35" s="213" t="s">
        <v>42</v>
      </c>
      <c r="P35" s="213" t="s">
        <v>43</v>
      </c>
    </row>
    <row r="36" spans="2:64" x14ac:dyDescent="0.3">
      <c r="B36" s="25" t="s">
        <v>261</v>
      </c>
      <c r="E36" s="10">
        <f>E32/E28</f>
        <v>0.58333333333333337</v>
      </c>
      <c r="F36" s="10">
        <f t="shared" ref="F36:P36" si="3">F32/F28</f>
        <v>0.58333333333333337</v>
      </c>
      <c r="G36" s="10">
        <f t="shared" si="3"/>
        <v>0.91666666666666663</v>
      </c>
      <c r="H36" s="10">
        <f t="shared" si="3"/>
        <v>1</v>
      </c>
      <c r="I36" s="10">
        <f t="shared" si="3"/>
        <v>1</v>
      </c>
      <c r="J36" s="10">
        <f t="shared" si="3"/>
        <v>1</v>
      </c>
      <c r="K36" s="10">
        <f t="shared" si="3"/>
        <v>1</v>
      </c>
      <c r="L36" s="10">
        <f t="shared" si="3"/>
        <v>1</v>
      </c>
      <c r="M36" s="10">
        <f t="shared" si="3"/>
        <v>0.66666666666666663</v>
      </c>
      <c r="N36" s="10">
        <f t="shared" si="3"/>
        <v>1</v>
      </c>
      <c r="O36" s="10">
        <f t="shared" si="3"/>
        <v>1</v>
      </c>
      <c r="P36" s="10">
        <f t="shared" si="3"/>
        <v>1</v>
      </c>
    </row>
    <row r="37" spans="2:64" x14ac:dyDescent="0.3">
      <c r="B37" s="25" t="s">
        <v>262</v>
      </c>
      <c r="E37" s="10">
        <f>E33/E29</f>
        <v>0.66666666666666663</v>
      </c>
      <c r="F37" s="10">
        <f t="shared" ref="F37:P37" si="4">F33/F29</f>
        <v>0.66666666666666663</v>
      </c>
      <c r="G37" s="10">
        <f t="shared" si="4"/>
        <v>0.66666666666666663</v>
      </c>
      <c r="H37" s="10">
        <f t="shared" si="4"/>
        <v>1</v>
      </c>
      <c r="I37" s="10">
        <f t="shared" si="4"/>
        <v>1</v>
      </c>
      <c r="J37" s="10">
        <f t="shared" si="4"/>
        <v>1</v>
      </c>
      <c r="K37" s="10">
        <f t="shared" si="4"/>
        <v>1</v>
      </c>
      <c r="L37" s="10">
        <f t="shared" si="4"/>
        <v>1</v>
      </c>
      <c r="M37" s="10">
        <f t="shared" si="4"/>
        <v>0.66666666666666663</v>
      </c>
      <c r="N37" s="10">
        <f t="shared" si="4"/>
        <v>1</v>
      </c>
      <c r="O37" s="10">
        <f t="shared" si="4"/>
        <v>1</v>
      </c>
      <c r="P37" s="10">
        <f t="shared" si="4"/>
        <v>1</v>
      </c>
    </row>
    <row r="40" spans="2:64" x14ac:dyDescent="0.3">
      <c r="J40" s="396">
        <v>2024</v>
      </c>
      <c r="K40" s="396"/>
      <c r="V40" s="396">
        <v>2025</v>
      </c>
      <c r="W40" s="396"/>
      <c r="AH40" s="396">
        <v>2026</v>
      </c>
      <c r="AI40" s="396"/>
      <c r="AT40" s="396">
        <v>2027</v>
      </c>
      <c r="AU40" s="396"/>
      <c r="BF40" s="396">
        <v>2028</v>
      </c>
      <c r="BG40" s="396"/>
    </row>
    <row r="41" spans="2:64" x14ac:dyDescent="0.3">
      <c r="E41" t="str">
        <f t="shared" ref="E41:P41" si="5">E27</f>
        <v>Jan</v>
      </c>
      <c r="F41" t="str">
        <f t="shared" si="5"/>
        <v>Feb</v>
      </c>
      <c r="G41" t="str">
        <f t="shared" si="5"/>
        <v>Mar</v>
      </c>
      <c r="H41" t="str">
        <f t="shared" si="5"/>
        <v>Apr</v>
      </c>
      <c r="I41" t="str">
        <f t="shared" si="5"/>
        <v>May</v>
      </c>
      <c r="J41" t="str">
        <f t="shared" si="5"/>
        <v>Jun</v>
      </c>
      <c r="K41" t="str">
        <f t="shared" si="5"/>
        <v>Jul</v>
      </c>
      <c r="L41" t="str">
        <f t="shared" si="5"/>
        <v>Aug</v>
      </c>
      <c r="M41" t="str">
        <f t="shared" si="5"/>
        <v>Sep</v>
      </c>
      <c r="N41" t="str">
        <f t="shared" si="5"/>
        <v>Oct</v>
      </c>
      <c r="O41" t="str">
        <f t="shared" si="5"/>
        <v>Nov</v>
      </c>
      <c r="P41" t="str">
        <f t="shared" si="5"/>
        <v>Dec</v>
      </c>
      <c r="Q41" t="s">
        <v>32</v>
      </c>
      <c r="R41" t="s">
        <v>33</v>
      </c>
      <c r="S41" t="s">
        <v>34</v>
      </c>
      <c r="T41" t="s">
        <v>35</v>
      </c>
      <c r="U41" t="s">
        <v>36</v>
      </c>
      <c r="V41" t="s">
        <v>37</v>
      </c>
      <c r="W41" t="s">
        <v>38</v>
      </c>
      <c r="X41" t="s">
        <v>39</v>
      </c>
      <c r="Y41" t="s">
        <v>40</v>
      </c>
      <c r="Z41" t="s">
        <v>41</v>
      </c>
      <c r="AA41" t="s">
        <v>42</v>
      </c>
      <c r="AB41" t="s">
        <v>43</v>
      </c>
      <c r="AC41" t="s">
        <v>32</v>
      </c>
      <c r="AD41" t="s">
        <v>33</v>
      </c>
      <c r="AE41" t="s">
        <v>34</v>
      </c>
      <c r="AF41" t="s">
        <v>35</v>
      </c>
      <c r="AG41" t="s">
        <v>36</v>
      </c>
      <c r="AH41" t="s">
        <v>37</v>
      </c>
      <c r="AI41" t="s">
        <v>38</v>
      </c>
      <c r="AJ41" t="s">
        <v>39</v>
      </c>
      <c r="AK41" t="s">
        <v>40</v>
      </c>
      <c r="AL41" t="s">
        <v>41</v>
      </c>
      <c r="AM41" t="s">
        <v>42</v>
      </c>
      <c r="AN41" t="s">
        <v>43</v>
      </c>
      <c r="AO41" t="s">
        <v>32</v>
      </c>
      <c r="AP41" t="s">
        <v>33</v>
      </c>
      <c r="AQ41" t="s">
        <v>34</v>
      </c>
      <c r="AR41" t="s">
        <v>35</v>
      </c>
      <c r="AS41" t="s">
        <v>36</v>
      </c>
      <c r="AT41" t="s">
        <v>37</v>
      </c>
      <c r="AU41" t="s">
        <v>38</v>
      </c>
      <c r="AV41" t="s">
        <v>39</v>
      </c>
      <c r="AW41" t="s">
        <v>40</v>
      </c>
      <c r="AX41" t="s">
        <v>41</v>
      </c>
      <c r="AY41" t="s">
        <v>42</v>
      </c>
      <c r="AZ41" t="s">
        <v>43</v>
      </c>
      <c r="BA41" t="s">
        <v>32</v>
      </c>
      <c r="BB41" t="s">
        <v>33</v>
      </c>
      <c r="BC41" t="s">
        <v>34</v>
      </c>
      <c r="BD41" t="s">
        <v>35</v>
      </c>
      <c r="BE41" t="s">
        <v>36</v>
      </c>
      <c r="BF41" t="s">
        <v>37</v>
      </c>
      <c r="BG41" t="s">
        <v>38</v>
      </c>
      <c r="BH41" t="s">
        <v>39</v>
      </c>
      <c r="BI41" t="s">
        <v>40</v>
      </c>
      <c r="BJ41" t="s">
        <v>41</v>
      </c>
      <c r="BK41" t="s">
        <v>42</v>
      </c>
      <c r="BL41" t="s">
        <v>43</v>
      </c>
    </row>
    <row r="42" spans="2:64" x14ac:dyDescent="0.3">
      <c r="D42" t="s">
        <v>2</v>
      </c>
      <c r="E42" s="1">
        <f>'IS 2024'!F17</f>
        <v>330030</v>
      </c>
      <c r="F42" s="1">
        <f>'IS 2024'!G17</f>
        <v>430451</v>
      </c>
      <c r="G42" s="1">
        <f>'IS 2024'!H17</f>
        <v>361850</v>
      </c>
      <c r="H42" s="1">
        <f>'IS 2024'!I17</f>
        <v>451050</v>
      </c>
      <c r="I42" s="1">
        <f>'IS 2024'!J17</f>
        <v>366785</v>
      </c>
      <c r="J42" s="1">
        <f>'IS 2024'!K17</f>
        <v>392080</v>
      </c>
      <c r="K42" s="1">
        <f>'IS 2024'!L17</f>
        <v>371015</v>
      </c>
      <c r="L42" s="1">
        <f>'IS 2024'!M17</f>
        <v>390505</v>
      </c>
      <c r="M42" s="1">
        <f>'IS 2024'!N17</f>
        <v>397210</v>
      </c>
      <c r="N42" s="1">
        <f>'IS 2024'!O17</f>
        <v>441485</v>
      </c>
      <c r="O42" s="1">
        <f>'IS 2024'!P17</f>
        <v>448480</v>
      </c>
      <c r="P42" s="1">
        <f>'IS 2024'!Q17</f>
        <v>449900</v>
      </c>
      <c r="Q42" s="1">
        <f>'IS 2025'!F17</f>
        <v>546073.22800000012</v>
      </c>
      <c r="R42" s="1">
        <f>'IS 2025'!G17</f>
        <v>553703.89199999999</v>
      </c>
      <c r="S42" s="1">
        <f>'IS 2025'!H17</f>
        <v>559369.55599999998</v>
      </c>
      <c r="T42" s="1">
        <f>'IS 2025'!I17</f>
        <v>564920.22</v>
      </c>
      <c r="U42" s="1">
        <f>'IS 2025'!J17</f>
        <v>562607.38800000004</v>
      </c>
      <c r="V42" s="1">
        <f>'IS 2025'!K17</f>
        <v>566182.17799999996</v>
      </c>
      <c r="W42" s="1">
        <f>'IS 2025'!L17</f>
        <v>578025.46400000004</v>
      </c>
      <c r="X42" s="1">
        <f>'IS 2025'!M17</f>
        <v>575181.75799999991</v>
      </c>
      <c r="Y42" s="1">
        <f>'IS 2025'!N17</f>
        <v>591486.79200000002</v>
      </c>
      <c r="Z42" s="1">
        <f>'IS 2025'!O17</f>
        <v>593524.18699999992</v>
      </c>
      <c r="AA42" s="1">
        <f>'IS 2025'!P17</f>
        <v>582881.33799999999</v>
      </c>
      <c r="AB42" s="1">
        <f>'IS 2025'!Q17</f>
        <v>586218.73300000001</v>
      </c>
      <c r="AC42" s="1">
        <f>'IS 2026'!F17</f>
        <v>604075</v>
      </c>
      <c r="AD42" s="1">
        <f>'IS 2026'!G17</f>
        <v>611500</v>
      </c>
      <c r="AE42" s="1">
        <f>'IS 2026'!H17</f>
        <v>571645</v>
      </c>
      <c r="AF42" s="1">
        <f>'IS 2026'!I17</f>
        <v>919695</v>
      </c>
      <c r="AG42" s="1">
        <f>'IS 2026'!J17</f>
        <v>580055</v>
      </c>
      <c r="AH42" s="1">
        <f>'IS 2026'!K17</f>
        <v>586650</v>
      </c>
      <c r="AI42" s="1">
        <f>'IS 2026'!L17</f>
        <v>603345</v>
      </c>
      <c r="AJ42" s="1">
        <f>'IS 2026'!M17</f>
        <v>595110</v>
      </c>
      <c r="AK42" s="1">
        <f>'IS 2026'!N17</f>
        <v>617740</v>
      </c>
      <c r="AL42" s="1">
        <f>'IS 2026'!O17</f>
        <v>620345</v>
      </c>
      <c r="AM42" s="1">
        <f>'IS 2026'!P17</f>
        <v>629320</v>
      </c>
      <c r="AN42" s="1">
        <f>'IS 2026'!Q17</f>
        <v>661710</v>
      </c>
      <c r="AO42" s="1">
        <f>'IS 2027'!F17</f>
        <v>883175</v>
      </c>
      <c r="AP42" s="1">
        <f>'IS 2027'!G17</f>
        <v>904835</v>
      </c>
      <c r="AQ42" s="1">
        <f>'IS 2027'!H17</f>
        <v>911350</v>
      </c>
      <c r="AR42" s="1">
        <f>'IS 2027'!I17</f>
        <v>917485</v>
      </c>
      <c r="AS42" s="1">
        <f>'IS 2027'!J17</f>
        <v>923530</v>
      </c>
      <c r="AT42" s="1">
        <f>'IS 2027'!K17</f>
        <v>929665</v>
      </c>
      <c r="AU42" s="1">
        <f>'IS 2027'!L17</f>
        <v>936180</v>
      </c>
      <c r="AV42" s="1">
        <f>'IS 2027'!M17</f>
        <v>959660</v>
      </c>
      <c r="AW42" s="1">
        <f>'IS 2027'!N17</f>
        <v>967035</v>
      </c>
      <c r="AX42" s="1">
        <f>'IS 2027'!O17</f>
        <v>973840</v>
      </c>
      <c r="AY42" s="1">
        <f>'IS 2027'!P17</f>
        <v>987120</v>
      </c>
      <c r="AZ42" s="1">
        <f>'IS 2027'!Q17</f>
        <v>994995</v>
      </c>
      <c r="BA42" s="1">
        <f>'IS 2028'!F17</f>
        <v>1000660</v>
      </c>
      <c r="BB42" s="1">
        <f>'IS 2028'!G17</f>
        <v>1007175</v>
      </c>
      <c r="BC42" s="1">
        <f>'IS 2028'!H17</f>
        <v>1032005</v>
      </c>
      <c r="BD42" s="1">
        <f>'IS 2028'!I17</f>
        <v>1037815</v>
      </c>
      <c r="BE42" s="1">
        <f>'IS 2028'!J17</f>
        <v>1044330</v>
      </c>
      <c r="BF42" s="1">
        <f>'IS 2028'!K17</f>
        <v>1049995</v>
      </c>
      <c r="BG42" s="1">
        <f>'IS 2028'!L17</f>
        <v>1066255</v>
      </c>
      <c r="BH42" s="1">
        <f>'IS 2028'!M17</f>
        <v>1072390</v>
      </c>
      <c r="BI42" s="1">
        <f>'IS 2028'!N17</f>
        <v>1096105</v>
      </c>
      <c r="BJ42" s="1">
        <f>'IS 2028'!O17</f>
        <v>1102620</v>
      </c>
      <c r="BK42" s="1">
        <f>'IS 2028'!P17</f>
        <v>1109515</v>
      </c>
      <c r="BL42" s="1">
        <f>'IS 2028'!Q17</f>
        <v>1118310</v>
      </c>
    </row>
    <row r="43" spans="2:64" x14ac:dyDescent="0.3">
      <c r="D43" t="s">
        <v>120</v>
      </c>
      <c r="E43" s="1">
        <f>'IS 2024'!F18</f>
        <v>-10390</v>
      </c>
      <c r="F43" s="1">
        <f>'IS 2024'!G18</f>
        <v>-10390</v>
      </c>
      <c r="G43" s="1">
        <f>'IS 2024'!H18</f>
        <v>-10390</v>
      </c>
      <c r="H43" s="1">
        <f>'IS 2024'!I18</f>
        <v>-10390</v>
      </c>
      <c r="I43" s="1">
        <f>'IS 2024'!J18</f>
        <v>-10390</v>
      </c>
      <c r="J43" s="1">
        <f>'IS 2024'!K18</f>
        <v>-10390</v>
      </c>
      <c r="K43" s="1">
        <f>'IS 2024'!L18</f>
        <v>-10390</v>
      </c>
      <c r="L43" s="1">
        <f>'IS 2024'!M18</f>
        <v>-10390</v>
      </c>
      <c r="M43" s="1">
        <f>'IS 2024'!N18</f>
        <v>-10390</v>
      </c>
      <c r="N43" s="1">
        <f>'IS 2024'!O18</f>
        <v>-10390</v>
      </c>
      <c r="O43" s="1">
        <f>'IS 2024'!P18</f>
        <v>-10390</v>
      </c>
      <c r="P43" s="1">
        <f>'IS 2024'!Q18</f>
        <v>-10390</v>
      </c>
      <c r="Q43" s="1">
        <f>'IS 2025'!F18</f>
        <v>-10390</v>
      </c>
      <c r="R43" s="1">
        <f>'IS 2025'!G18</f>
        <v>-10390</v>
      </c>
      <c r="S43" s="1">
        <f>'IS 2025'!H18</f>
        <v>-10390</v>
      </c>
      <c r="T43" s="1">
        <f>'IS 2025'!I18</f>
        <v>-10390</v>
      </c>
      <c r="U43" s="1">
        <f>'IS 2025'!J18</f>
        <v>-10390</v>
      </c>
      <c r="V43" s="1">
        <f>'IS 2025'!K18</f>
        <v>-10390</v>
      </c>
      <c r="W43" s="1">
        <f>'IS 2025'!L18</f>
        <v>-10390</v>
      </c>
      <c r="X43" s="1">
        <f>'IS 2025'!M18</f>
        <v>-10390</v>
      </c>
      <c r="Y43" s="1">
        <f>'IS 2025'!N18</f>
        <v>-10390</v>
      </c>
      <c r="Z43" s="1">
        <f>'IS 2025'!O18</f>
        <v>-10390</v>
      </c>
      <c r="AA43" s="1">
        <f>'IS 2025'!P18</f>
        <v>-10390</v>
      </c>
      <c r="AB43" s="1">
        <f>'IS 2025'!Q18</f>
        <v>-10390</v>
      </c>
      <c r="AC43" s="1">
        <f>'IS 2026'!F18</f>
        <v>8610</v>
      </c>
      <c r="AD43" s="1">
        <f>'IS 2026'!G18</f>
        <v>8610</v>
      </c>
      <c r="AE43" s="1">
        <f>'IS 2026'!H18</f>
        <v>8610</v>
      </c>
      <c r="AF43" s="1">
        <f>'IS 2026'!I18</f>
        <v>8610</v>
      </c>
      <c r="AG43" s="1">
        <f>'IS 2026'!J18</f>
        <v>8610</v>
      </c>
      <c r="AH43" s="1">
        <f>'IS 2026'!K18</f>
        <v>8610</v>
      </c>
      <c r="AI43" s="1">
        <f>'IS 2026'!L18</f>
        <v>8610</v>
      </c>
      <c r="AJ43" s="1">
        <f>'IS 2026'!M18</f>
        <v>8610</v>
      </c>
      <c r="AK43" s="1">
        <f>'IS 2026'!N18</f>
        <v>8610</v>
      </c>
      <c r="AL43" s="1">
        <f>'IS 2026'!O18</f>
        <v>8610</v>
      </c>
      <c r="AM43" s="1">
        <f>'IS 2026'!P18</f>
        <v>8610</v>
      </c>
      <c r="AN43" s="1">
        <f>'IS 2026'!Q18</f>
        <v>8610</v>
      </c>
      <c r="AO43" s="1">
        <f>'IS 2027'!F18</f>
        <v>-32544</v>
      </c>
      <c r="AP43" s="1">
        <f>'IS 2027'!G18</f>
        <v>-32544</v>
      </c>
      <c r="AQ43" s="1">
        <f>'IS 2027'!H18</f>
        <v>-32544</v>
      </c>
      <c r="AR43" s="1">
        <f>'IS 2027'!I18</f>
        <v>-32544</v>
      </c>
      <c r="AS43" s="1">
        <f>'IS 2027'!J18</f>
        <v>-32544</v>
      </c>
      <c r="AT43" s="1">
        <f>'IS 2027'!K18</f>
        <v>-32544</v>
      </c>
      <c r="AU43" s="1">
        <f>'IS 2027'!L18</f>
        <v>-32544</v>
      </c>
      <c r="AV43" s="1">
        <f>'IS 2027'!M18</f>
        <v>-32544</v>
      </c>
      <c r="AW43" s="1">
        <f>'IS 2027'!N18</f>
        <v>-32544</v>
      </c>
      <c r="AX43" s="1">
        <f>'IS 2027'!O18</f>
        <v>-32544</v>
      </c>
      <c r="AY43" s="1">
        <f>'IS 2027'!P18</f>
        <v>-32544</v>
      </c>
      <c r="AZ43" s="1">
        <f>'IS 2027'!Q18</f>
        <v>-32544</v>
      </c>
      <c r="BA43" s="1">
        <f>'IS 2028'!F18</f>
        <v>-32544</v>
      </c>
      <c r="BB43" s="1">
        <f>'IS 2028'!G18</f>
        <v>-32544</v>
      </c>
      <c r="BC43" s="1">
        <f>'IS 2028'!H18</f>
        <v>-38444</v>
      </c>
      <c r="BD43" s="1">
        <f>'IS 2028'!I18</f>
        <v>-38444</v>
      </c>
      <c r="BE43" s="1">
        <f>'IS 2028'!J18</f>
        <v>-38444</v>
      </c>
      <c r="BF43" s="1">
        <f>'IS 2028'!K18</f>
        <v>-38444</v>
      </c>
      <c r="BG43" s="1">
        <f>'IS 2028'!L18</f>
        <v>-38444</v>
      </c>
      <c r="BH43" s="1">
        <f>'IS 2028'!M18</f>
        <v>-38444</v>
      </c>
      <c r="BI43" s="1">
        <f>'IS 2028'!N18</f>
        <v>-38444</v>
      </c>
      <c r="BJ43" s="1">
        <f>'IS 2028'!O18</f>
        <v>-38444</v>
      </c>
      <c r="BK43" s="1">
        <f>'IS 2028'!P18</f>
        <v>-38444</v>
      </c>
      <c r="BL43" s="1">
        <f>'IS 2028'!Q18</f>
        <v>-38444</v>
      </c>
    </row>
    <row r="44" spans="2:64" x14ac:dyDescent="0.3">
      <c r="D44" t="s">
        <v>128</v>
      </c>
      <c r="E44" s="1">
        <f>'IS 2024'!F38</f>
        <v>-2285</v>
      </c>
      <c r="F44" s="1">
        <f>'IS 2024'!G38</f>
        <v>-2285</v>
      </c>
      <c r="G44" s="1">
        <f>'IS 2024'!H38</f>
        <v>-2285</v>
      </c>
      <c r="H44" s="1">
        <f>'IS 2024'!I38</f>
        <v>-2285</v>
      </c>
      <c r="I44" s="1">
        <f>'IS 2024'!J38</f>
        <v>-2285</v>
      </c>
      <c r="J44" s="1">
        <f>'IS 2024'!K38</f>
        <v>-2285</v>
      </c>
      <c r="K44" s="1">
        <f>'IS 2024'!L38</f>
        <v>-2285</v>
      </c>
      <c r="L44" s="1">
        <f>'IS 2024'!M38</f>
        <v>-2285</v>
      </c>
      <c r="M44" s="1">
        <f>'IS 2024'!N38</f>
        <v>-2285</v>
      </c>
      <c r="N44" s="1">
        <f>'IS 2024'!O38</f>
        <v>-2285</v>
      </c>
      <c r="O44" s="1">
        <f>'IS 2024'!P38</f>
        <v>-2285</v>
      </c>
      <c r="P44" s="1">
        <f>'IS 2024'!Q38</f>
        <v>-2285</v>
      </c>
      <c r="Q44" s="1">
        <f>'IS 2025'!F39</f>
        <v>-2285</v>
      </c>
      <c r="R44" s="1">
        <f>'IS 2025'!G39</f>
        <v>-2285</v>
      </c>
      <c r="S44" s="1">
        <f>'IS 2025'!H39</f>
        <v>-2285</v>
      </c>
      <c r="T44" s="1">
        <f>'IS 2025'!I39</f>
        <v>-2285</v>
      </c>
      <c r="U44" s="1">
        <f>'IS 2025'!J39</f>
        <v>-2285</v>
      </c>
      <c r="V44" s="1">
        <f>'IS 2025'!K39</f>
        <v>-2285</v>
      </c>
      <c r="W44" s="1">
        <f>'IS 2025'!L39</f>
        <v>-2285</v>
      </c>
      <c r="X44" s="1">
        <f>'IS 2025'!M39</f>
        <v>-2285</v>
      </c>
      <c r="Y44" s="1">
        <f>'IS 2025'!N39</f>
        <v>-2285</v>
      </c>
      <c r="Z44" s="1">
        <f>'IS 2025'!O39</f>
        <v>-2285</v>
      </c>
      <c r="AA44" s="1">
        <f>'IS 2025'!P39</f>
        <v>-2285</v>
      </c>
      <c r="AB44" s="1">
        <f>'IS 2025'!Q39</f>
        <v>-2285</v>
      </c>
      <c r="AC44" s="1">
        <f>'IS 2026'!F38</f>
        <v>-2285</v>
      </c>
      <c r="AD44" s="1">
        <f>'IS 2026'!G38</f>
        <v>-2285</v>
      </c>
      <c r="AE44" s="1">
        <f>'IS 2026'!H38</f>
        <v>-2285</v>
      </c>
      <c r="AF44" s="1">
        <f>'IS 2026'!I38</f>
        <v>-2285</v>
      </c>
      <c r="AG44" s="1">
        <f>'IS 2026'!J38</f>
        <v>-2285</v>
      </c>
      <c r="AH44" s="1">
        <f>'IS 2026'!K38</f>
        <v>-2285</v>
      </c>
      <c r="AI44" s="1">
        <f>'IS 2026'!L38</f>
        <v>-2285</v>
      </c>
      <c r="AJ44" s="1">
        <f>'IS 2026'!M38</f>
        <v>-2285</v>
      </c>
      <c r="AK44" s="1">
        <f>'IS 2026'!N38</f>
        <v>-2285</v>
      </c>
      <c r="AL44" s="1">
        <f>'IS 2026'!O38</f>
        <v>-2285</v>
      </c>
      <c r="AM44" s="1">
        <f>'IS 2026'!P38</f>
        <v>-2285</v>
      </c>
      <c r="AN44" s="1">
        <f>'IS 2026'!Q38</f>
        <v>-2285</v>
      </c>
      <c r="AO44" s="1">
        <f>'IS 2027'!F37</f>
        <v>-28713</v>
      </c>
      <c r="AP44" s="1">
        <f>'IS 2027'!G37</f>
        <v>-28713</v>
      </c>
      <c r="AQ44" s="1">
        <f>'IS 2027'!H37</f>
        <v>-28713</v>
      </c>
      <c r="AR44" s="1">
        <f>'IS 2027'!I37</f>
        <v>-28713</v>
      </c>
      <c r="AS44" s="1">
        <f>'IS 2027'!J37</f>
        <v>-28713</v>
      </c>
      <c r="AT44" s="1">
        <f>'IS 2027'!K37</f>
        <v>-28713</v>
      </c>
      <c r="AU44" s="1">
        <f>'IS 2027'!L37</f>
        <v>-28713</v>
      </c>
      <c r="AV44" s="1">
        <f>'IS 2027'!M37</f>
        <v>-28713</v>
      </c>
      <c r="AW44" s="1">
        <f>'IS 2027'!N37</f>
        <v>-28713</v>
      </c>
      <c r="AX44" s="1">
        <f>'IS 2027'!O37</f>
        <v>-28713</v>
      </c>
      <c r="AY44" s="1">
        <f>'IS 2027'!P37</f>
        <v>-28713</v>
      </c>
      <c r="AZ44" s="1">
        <f>'IS 2027'!Q37</f>
        <v>-17479</v>
      </c>
      <c r="BA44" s="1">
        <f>'IS 2028'!F37</f>
        <v>-28713</v>
      </c>
      <c r="BB44" s="1">
        <f>'IS 2028'!G37</f>
        <v>-28713</v>
      </c>
      <c r="BC44" s="1">
        <f>'IS 2028'!H37</f>
        <v>-28713</v>
      </c>
      <c r="BD44" s="1">
        <f>'IS 2028'!I37</f>
        <v>-28713</v>
      </c>
      <c r="BE44" s="1">
        <f>'IS 2028'!J37</f>
        <v>-28713</v>
      </c>
      <c r="BF44" s="1">
        <f>'IS 2028'!K37</f>
        <v>-28713</v>
      </c>
      <c r="BG44" s="1">
        <f>'IS 2028'!L37</f>
        <v>-28713</v>
      </c>
      <c r="BH44" s="1">
        <f>'IS 2028'!M37</f>
        <v>-28713</v>
      </c>
      <c r="BI44" s="1">
        <f>'IS 2028'!N37</f>
        <v>-28713</v>
      </c>
      <c r="BJ44" s="1">
        <f>'IS 2028'!O37</f>
        <v>-28713</v>
      </c>
      <c r="BK44" s="1">
        <f>'IS 2028'!P37</f>
        <v>-28713</v>
      </c>
      <c r="BL44" s="1">
        <f>'IS 2028'!Q37</f>
        <v>-17479</v>
      </c>
    </row>
    <row r="45" spans="2:64" x14ac:dyDescent="0.3">
      <c r="D45" t="s">
        <v>129</v>
      </c>
      <c r="E45" s="1">
        <f>'IS 2024'!F39</f>
        <v>-4063</v>
      </c>
      <c r="F45" s="1">
        <f>'IS 2024'!G39</f>
        <v>-4063</v>
      </c>
      <c r="G45" s="1">
        <f>'IS 2024'!H39</f>
        <v>-4063</v>
      </c>
      <c r="H45" s="1">
        <f>'IS 2024'!I39</f>
        <v>-4063</v>
      </c>
      <c r="I45" s="1">
        <f>'IS 2024'!J39</f>
        <v>-4063</v>
      </c>
      <c r="J45" s="1">
        <f>'IS 2024'!K39</f>
        <v>-4063</v>
      </c>
      <c r="K45" s="1">
        <f>'IS 2024'!L39</f>
        <v>-4063</v>
      </c>
      <c r="L45" s="1">
        <f>'IS 2024'!M39</f>
        <v>-4063</v>
      </c>
      <c r="M45" s="1">
        <f>'IS 2024'!N39</f>
        <v>-4063</v>
      </c>
      <c r="N45" s="1">
        <f>'IS 2024'!O39</f>
        <v>-4063</v>
      </c>
      <c r="O45" s="1">
        <f>'IS 2024'!P39</f>
        <v>-4063</v>
      </c>
      <c r="P45" s="1">
        <f>'IS 2024'!Q39</f>
        <v>-4063</v>
      </c>
      <c r="Q45" s="1">
        <f>'IS 2025'!F40</f>
        <v>-4063</v>
      </c>
      <c r="R45" s="1">
        <f>'IS 2025'!G40</f>
        <v>-4063</v>
      </c>
      <c r="S45" s="1">
        <f>'IS 2025'!H40</f>
        <v>-4063</v>
      </c>
      <c r="T45" s="1">
        <f>'IS 2025'!I40</f>
        <v>-4063</v>
      </c>
      <c r="U45" s="1">
        <f>'IS 2025'!J40</f>
        <v>-4063</v>
      </c>
      <c r="V45" s="1">
        <f>'IS 2025'!K40</f>
        <v>-4063</v>
      </c>
      <c r="W45" s="1">
        <f>'IS 2025'!L40</f>
        <v>-4063</v>
      </c>
      <c r="X45" s="1">
        <f>'IS 2025'!M40</f>
        <v>-4063</v>
      </c>
      <c r="Y45" s="1">
        <f>'IS 2025'!N40</f>
        <v>-4063</v>
      </c>
      <c r="Z45" s="1">
        <f>'IS 2025'!O40</f>
        <v>-4063</v>
      </c>
      <c r="AA45" s="1">
        <f>'IS 2025'!P40</f>
        <v>-4063</v>
      </c>
      <c r="AB45" s="1">
        <f>'IS 2025'!Q40</f>
        <v>-4063</v>
      </c>
      <c r="AC45" s="1">
        <f>'IS 2026'!F39</f>
        <v>-45063</v>
      </c>
      <c r="AD45" s="1">
        <f>'IS 2026'!G39</f>
        <v>-45063</v>
      </c>
      <c r="AE45" s="1">
        <f>'IS 2026'!H39</f>
        <v>-45063</v>
      </c>
      <c r="AF45" s="1">
        <f>'IS 2026'!I39</f>
        <v>-45063</v>
      </c>
      <c r="AG45" s="1">
        <f>'IS 2026'!J39</f>
        <v>-45063</v>
      </c>
      <c r="AH45" s="1">
        <f>'IS 2026'!K39</f>
        <v>-45063</v>
      </c>
      <c r="AI45" s="1">
        <f>'IS 2026'!L39</f>
        <v>-45063</v>
      </c>
      <c r="AJ45" s="1">
        <f>'IS 2026'!M39</f>
        <v>-45063</v>
      </c>
      <c r="AK45" s="1">
        <f>'IS 2026'!N39</f>
        <v>-45063</v>
      </c>
      <c r="AL45" s="1">
        <f>'IS 2026'!O39</f>
        <v>-45063</v>
      </c>
      <c r="AM45" s="1">
        <f>'IS 2026'!P39</f>
        <v>-45063</v>
      </c>
      <c r="AN45" s="1">
        <f>'IS 2026'!Q39</f>
        <v>-45063</v>
      </c>
      <c r="AO45" s="1">
        <f>'IS 2027'!F38</f>
        <v>-45063</v>
      </c>
      <c r="AP45" s="1">
        <f>'IS 2027'!G38</f>
        <v>-45063</v>
      </c>
      <c r="AQ45" s="1">
        <f>'IS 2027'!H38</f>
        <v>-45063</v>
      </c>
      <c r="AR45" s="1">
        <f>'IS 2027'!I38</f>
        <v>-45063</v>
      </c>
      <c r="AS45" s="1">
        <f>'IS 2027'!J38</f>
        <v>-45063</v>
      </c>
      <c r="AT45" s="1">
        <f>'IS 2027'!K38</f>
        <v>-45063</v>
      </c>
      <c r="AU45" s="1">
        <f>'IS 2027'!L38</f>
        <v>-45063</v>
      </c>
      <c r="AV45" s="1">
        <f>'IS 2027'!M38</f>
        <v>-45063</v>
      </c>
      <c r="AW45" s="1">
        <f>'IS 2027'!N38</f>
        <v>-45063</v>
      </c>
      <c r="AX45" s="1">
        <f>'IS 2027'!O38</f>
        <v>-45063</v>
      </c>
      <c r="AY45" s="1">
        <f>'IS 2027'!P38</f>
        <v>-45063</v>
      </c>
      <c r="AZ45" s="1">
        <f>'IS 2027'!Q38</f>
        <v>-45063</v>
      </c>
      <c r="BA45" s="1">
        <f>'IS 2028'!F38</f>
        <v>-45063</v>
      </c>
      <c r="BB45" s="1">
        <f>'IS 2028'!G38</f>
        <v>-45063</v>
      </c>
      <c r="BC45" s="1">
        <f>'IS 2028'!H38</f>
        <v>-45063</v>
      </c>
      <c r="BD45" s="1">
        <f>'IS 2028'!I38</f>
        <v>-45063</v>
      </c>
      <c r="BE45" s="1">
        <f>'IS 2028'!J38</f>
        <v>-45063</v>
      </c>
      <c r="BF45" s="1">
        <f>'IS 2028'!K38</f>
        <v>-45063</v>
      </c>
      <c r="BG45" s="1">
        <f>'IS 2028'!L38</f>
        <v>-45063</v>
      </c>
      <c r="BH45" s="1">
        <f>'IS 2028'!M38</f>
        <v>-45063</v>
      </c>
      <c r="BI45" s="1">
        <f>'IS 2028'!N38</f>
        <v>-45063</v>
      </c>
      <c r="BJ45" s="1">
        <f>'IS 2028'!O38</f>
        <v>-45063</v>
      </c>
      <c r="BK45" s="1">
        <f>'IS 2028'!P38</f>
        <v>-45063</v>
      </c>
      <c r="BL45" s="1">
        <f>'IS 2028'!Q38</f>
        <v>-45063</v>
      </c>
    </row>
    <row r="46" spans="2:64" x14ac:dyDescent="0.3">
      <c r="D46" t="s">
        <v>10</v>
      </c>
      <c r="E46" s="1">
        <v>424833</v>
      </c>
      <c r="F46" s="1">
        <v>444259</v>
      </c>
      <c r="G46" s="1">
        <v>473068</v>
      </c>
      <c r="H46" s="1">
        <v>474558</v>
      </c>
      <c r="I46" s="1">
        <v>479798</v>
      </c>
      <c r="J46" s="1">
        <v>515933</v>
      </c>
      <c r="K46" s="1">
        <v>493708</v>
      </c>
      <c r="L46" s="1">
        <v>522253</v>
      </c>
      <c r="M46" s="1">
        <v>533023</v>
      </c>
      <c r="N46" s="1">
        <v>591933</v>
      </c>
      <c r="O46" s="1">
        <v>602488</v>
      </c>
      <c r="P46" s="1">
        <v>623332</v>
      </c>
      <c r="Q46" s="1">
        <v>724561.57200000016</v>
      </c>
      <c r="R46" s="1">
        <v>735619.30799999996</v>
      </c>
      <c r="S46" s="1">
        <v>743902.04399999999</v>
      </c>
      <c r="T46" s="1">
        <v>751919.78</v>
      </c>
      <c r="U46" s="1">
        <v>748538.41200000001</v>
      </c>
      <c r="V46" s="1">
        <v>753800.12199999986</v>
      </c>
      <c r="W46" s="1">
        <v>770955.9360000001</v>
      </c>
      <c r="X46" s="1">
        <v>766833.5419999999</v>
      </c>
      <c r="Y46" s="1">
        <v>790486.40800000005</v>
      </c>
      <c r="Z46" s="1">
        <v>793459.76300000004</v>
      </c>
      <c r="AA46" s="1">
        <v>777966.96200000006</v>
      </c>
      <c r="AB46" s="1">
        <v>794074.31700000004</v>
      </c>
      <c r="AC46" s="1">
        <f>'IS 2026'!F59</f>
        <v>602150</v>
      </c>
      <c r="AD46" s="1">
        <f>'IS 2026'!G59</f>
        <v>609575</v>
      </c>
      <c r="AE46" s="1">
        <f>'IS 2026'!H59</f>
        <v>569720</v>
      </c>
      <c r="AF46" s="1">
        <f>'IS 2026'!I59</f>
        <v>917770</v>
      </c>
      <c r="AG46" s="1">
        <f>'IS 2026'!J59</f>
        <v>578130</v>
      </c>
      <c r="AH46" s="1">
        <f>'IS 2026'!K59</f>
        <v>584725</v>
      </c>
      <c r="AI46" s="1">
        <f>'IS 2026'!L59</f>
        <v>601420</v>
      </c>
      <c r="AJ46" s="1">
        <f>'IS 2026'!M59</f>
        <v>593185</v>
      </c>
      <c r="AK46" s="1">
        <f>'IS 2026'!N59</f>
        <v>615815</v>
      </c>
      <c r="AL46" s="1">
        <f>'IS 2026'!O59</f>
        <v>618420</v>
      </c>
      <c r="AM46" s="1">
        <f>'IS 2026'!P59</f>
        <v>627395</v>
      </c>
      <c r="AN46" s="1">
        <f>'IS 2026'!Q59</f>
        <v>659785</v>
      </c>
      <c r="AO46" s="1">
        <f>'IS 2027'!F57</f>
        <v>813668</v>
      </c>
      <c r="AP46" s="1">
        <f>'IS 2027'!G57</f>
        <v>835328</v>
      </c>
      <c r="AQ46" s="1">
        <f>'IS 2027'!H57</f>
        <v>841843</v>
      </c>
      <c r="AR46" s="1">
        <f>'IS 2027'!I57</f>
        <v>847978</v>
      </c>
      <c r="AS46" s="1">
        <f>'IS 2027'!J57</f>
        <v>854023</v>
      </c>
      <c r="AT46" s="1">
        <f>'IS 2027'!K57</f>
        <v>860158</v>
      </c>
      <c r="AU46" s="1">
        <f>'IS 2027'!L57</f>
        <v>866673</v>
      </c>
      <c r="AV46" s="1">
        <f>'IS 2027'!M57</f>
        <v>890153</v>
      </c>
      <c r="AW46" s="1">
        <f>'IS 2027'!N57</f>
        <v>897528</v>
      </c>
      <c r="AX46" s="1">
        <f>'IS 2027'!O57</f>
        <v>904333</v>
      </c>
      <c r="AY46" s="1">
        <f>'IS 2027'!P57</f>
        <v>917613</v>
      </c>
      <c r="AZ46" s="1">
        <f>'IS 2027'!Q57</f>
        <v>936722</v>
      </c>
      <c r="BA46" s="1">
        <f>'IS 2028'!F57</f>
        <v>931153</v>
      </c>
      <c r="BB46" s="1">
        <f>'IS 2028'!G57</f>
        <v>937668</v>
      </c>
      <c r="BC46" s="1">
        <f>'IS 2028'!H57</f>
        <v>956598</v>
      </c>
      <c r="BD46" s="1">
        <f>'IS 2028'!I57</f>
        <v>962408</v>
      </c>
      <c r="BE46" s="1">
        <f>'IS 2028'!J57</f>
        <v>968923</v>
      </c>
      <c r="BF46" s="1">
        <f>'IS 2028'!K57</f>
        <v>974588</v>
      </c>
      <c r="BG46" s="1">
        <f>'IS 2028'!L57</f>
        <v>990848</v>
      </c>
      <c r="BH46" s="1">
        <f>'IS 2028'!M57</f>
        <v>996983</v>
      </c>
      <c r="BI46" s="1">
        <f>'IS 2028'!N57</f>
        <v>1020698</v>
      </c>
      <c r="BJ46" s="1">
        <f>'IS 2028'!O57</f>
        <v>1027213</v>
      </c>
      <c r="BK46" s="1">
        <f>'IS 2028'!P57</f>
        <v>1034108</v>
      </c>
      <c r="BL46" s="1">
        <f>'IS 2028'!Q57</f>
        <v>1054137</v>
      </c>
    </row>
    <row r="49" spans="4:64" x14ac:dyDescent="0.3">
      <c r="D49" t="s">
        <v>316</v>
      </c>
      <c r="E49" s="1">
        <f>'CF 2024'!G21</f>
        <v>330030</v>
      </c>
      <c r="F49" s="1">
        <f>'CF 2024'!H21</f>
        <v>430451</v>
      </c>
      <c r="G49" s="1">
        <f>'CF 2024'!I21</f>
        <v>361850</v>
      </c>
      <c r="H49" s="1">
        <f>'CF 2024'!J21</f>
        <v>451050</v>
      </c>
      <c r="I49" s="1">
        <f>'CF 2024'!K21</f>
        <v>366785</v>
      </c>
      <c r="J49" s="1">
        <f>'CF 2024'!L21</f>
        <v>392080</v>
      </c>
      <c r="K49" s="1">
        <f>'CF 2024'!M21</f>
        <v>371015</v>
      </c>
      <c r="L49" s="1">
        <f>'CF 2024'!N21</f>
        <v>390505</v>
      </c>
      <c r="M49" s="1">
        <f>'CF 2024'!O21</f>
        <v>397210</v>
      </c>
      <c r="N49" s="1">
        <f>'CF 2024'!P21</f>
        <v>441485</v>
      </c>
      <c r="O49" s="1">
        <f>'CF 2024'!Q21</f>
        <v>448480</v>
      </c>
      <c r="P49" s="1">
        <f>'CF 2024'!R21</f>
        <v>449900</v>
      </c>
      <c r="Q49" s="1">
        <f>'CF 2025'!G21</f>
        <v>546073.22800000012</v>
      </c>
      <c r="R49" s="1">
        <f>'CF 2025'!H21</f>
        <v>553703.89199999999</v>
      </c>
      <c r="S49" s="1">
        <f>'CF 2025'!I21</f>
        <v>559369.55599999998</v>
      </c>
      <c r="T49" s="1">
        <f>'CF 2025'!J21</f>
        <v>564920.22</v>
      </c>
      <c r="U49" s="1">
        <f>'CF 2025'!K21</f>
        <v>562607.38800000004</v>
      </c>
      <c r="V49" s="1">
        <f>'CF 2025'!L21</f>
        <v>566182.17799999996</v>
      </c>
      <c r="W49" s="1">
        <f>'CF 2025'!M21</f>
        <v>578025.46400000004</v>
      </c>
      <c r="X49" s="1">
        <f>'CF 2025'!N21</f>
        <v>575181.75799999991</v>
      </c>
      <c r="Y49" s="1">
        <f>'CF 2025'!O21</f>
        <v>591486.79200000002</v>
      </c>
      <c r="Z49" s="1">
        <f>'CF 2025'!P21</f>
        <v>593524.18699999992</v>
      </c>
      <c r="AA49" s="1">
        <f>'CF 2025'!Q21</f>
        <v>582881.33799999999</v>
      </c>
      <c r="AB49" s="1">
        <f>'CF 2025'!R21</f>
        <v>586218.73300000001</v>
      </c>
      <c r="AC49" s="1">
        <f>'CF 2026'!G21</f>
        <v>604075</v>
      </c>
      <c r="AD49" s="1">
        <f>'CF 2026'!H21</f>
        <v>611500</v>
      </c>
      <c r="AE49" s="1">
        <f>'CF 2026'!I21</f>
        <v>571645</v>
      </c>
      <c r="AF49" s="1">
        <f>'CF 2026'!J21</f>
        <v>919695</v>
      </c>
      <c r="AG49" s="1">
        <f>'CF 2026'!K21</f>
        <v>580055</v>
      </c>
      <c r="AH49" s="1">
        <f>'CF 2026'!L21</f>
        <v>586650</v>
      </c>
      <c r="AI49" s="1">
        <f>'CF 2026'!M21</f>
        <v>603345</v>
      </c>
      <c r="AJ49" s="1">
        <f>'CF 2026'!N21</f>
        <v>595110</v>
      </c>
      <c r="AK49" s="1">
        <f>'CF 2026'!O21</f>
        <v>617740</v>
      </c>
      <c r="AL49" s="1">
        <f>'CF 2026'!P21</f>
        <v>620345</v>
      </c>
      <c r="AM49" s="1">
        <f>'CF 2026'!Q21</f>
        <v>629320</v>
      </c>
      <c r="AN49" s="1">
        <f>'CF 2026'!R21</f>
        <v>661710</v>
      </c>
      <c r="AO49" s="1">
        <f>'CF 2027'!G21</f>
        <v>883175</v>
      </c>
      <c r="AP49" s="1">
        <f>'CF 2027'!H21</f>
        <v>904835</v>
      </c>
      <c r="AQ49" s="1">
        <f>'CF 2027'!I21</f>
        <v>911350</v>
      </c>
      <c r="AR49" s="1">
        <f>'CF 2027'!J21</f>
        <v>917485</v>
      </c>
      <c r="AS49" s="1">
        <f>'CF 2027'!K21</f>
        <v>923530</v>
      </c>
      <c r="AT49" s="1">
        <f>'CF 2027'!L21</f>
        <v>929665</v>
      </c>
      <c r="AU49" s="1">
        <f>'CF 2027'!M21</f>
        <v>936180</v>
      </c>
      <c r="AV49" s="1">
        <f>'CF 2027'!N21</f>
        <v>959660</v>
      </c>
      <c r="AW49" s="1">
        <f>'CF 2027'!O21</f>
        <v>967035</v>
      </c>
      <c r="AX49" s="1">
        <f>'CF 2027'!P21</f>
        <v>973840</v>
      </c>
      <c r="AY49" s="1">
        <f>'CF 2027'!Q21</f>
        <v>987120</v>
      </c>
      <c r="AZ49" s="1">
        <f>'CF 2027'!R21</f>
        <v>994995</v>
      </c>
      <c r="BA49" s="1">
        <f>'CF 2028'!G21</f>
        <v>1000660</v>
      </c>
      <c r="BB49" s="1">
        <f>'CF 2028'!H21</f>
        <v>1007175</v>
      </c>
      <c r="BC49" s="1">
        <f>'CF 2028'!I21</f>
        <v>1032005</v>
      </c>
      <c r="BD49" s="1">
        <f>'CF 2028'!J21</f>
        <v>1037815</v>
      </c>
      <c r="BE49" s="1">
        <f>'CF 2028'!K21</f>
        <v>1044330</v>
      </c>
      <c r="BF49" s="1">
        <f>'CF 2028'!L21</f>
        <v>1049995</v>
      </c>
      <c r="BG49" s="1">
        <f>'CF 2028'!M21</f>
        <v>1066255</v>
      </c>
      <c r="BH49" s="1">
        <f>'CF 2028'!N21</f>
        <v>1072390</v>
      </c>
      <c r="BI49" s="1">
        <f>'CF 2028'!O21</f>
        <v>1096105</v>
      </c>
      <c r="BJ49" s="1">
        <f>'CF 2028'!P21</f>
        <v>1102620</v>
      </c>
      <c r="BK49" s="1">
        <f>'CF 2028'!Q21</f>
        <v>1109515</v>
      </c>
      <c r="BL49" s="1">
        <f>'CF 2028'!R21</f>
        <v>1118310</v>
      </c>
    </row>
    <row r="50" spans="4:64" x14ac:dyDescent="0.3">
      <c r="D50" t="s">
        <v>317</v>
      </c>
      <c r="E50" s="1">
        <f>'CF 2024'!G22</f>
        <v>-172446</v>
      </c>
      <c r="F50" s="1">
        <f>'CF 2024'!H22</f>
        <v>-189166.60000000003</v>
      </c>
      <c r="G50" s="1">
        <f>'CF 2024'!I22</f>
        <v>-172082.8</v>
      </c>
      <c r="H50" s="1">
        <f>'CF 2024'!J22</f>
        <v>-186559.2</v>
      </c>
      <c r="I50" s="1">
        <f>'CF 2024'!K22</f>
        <v>-166342.6</v>
      </c>
      <c r="J50" s="1">
        <f>'CF 2024'!L22</f>
        <v>-168038</v>
      </c>
      <c r="K50" s="1">
        <f>'CF 2024'!M22</f>
        <v>-160461.40000000002</v>
      </c>
      <c r="L50" s="1">
        <f>'CF 2024'!N22</f>
        <v>-160995.79999999999</v>
      </c>
      <c r="M50" s="1">
        <f>'CF 2024'!O22</f>
        <v>-158973.20000000001</v>
      </c>
      <c r="N50" s="1">
        <f>'CF 2024'!P22</f>
        <v>-164464.6</v>
      </c>
      <c r="O50" s="1">
        <f>'CF 2024'!Q22</f>
        <v>-162500</v>
      </c>
      <c r="P50" s="1">
        <f>'CF 2024'!R22</f>
        <v>-159420.40000000002</v>
      </c>
      <c r="Q50" s="1">
        <f>'CF 2025'!G22</f>
        <v>-175291.44560000004</v>
      </c>
      <c r="R50" s="1">
        <f>'CF 2025'!H22</f>
        <v>-173453.97840000002</v>
      </c>
      <c r="S50" s="1">
        <f>'CF 2025'!I22</f>
        <v>-171223.51120000001</v>
      </c>
      <c r="T50" s="1">
        <f>'CF 2025'!J22</f>
        <v>-168970.04399999999</v>
      </c>
      <c r="U50" s="1">
        <f>'CF 2025'!K22</f>
        <v>-165143.87760000001</v>
      </c>
      <c r="V50" s="1">
        <f>'CF 2025'!L22</f>
        <v>-162495.23560000001</v>
      </c>
      <c r="W50" s="1">
        <f>'CF 2025'!M22</f>
        <v>-161500.29280000002</v>
      </c>
      <c r="X50" s="1">
        <f>'CF 2025'!N22</f>
        <v>-157567.9516</v>
      </c>
      <c r="Y50" s="1">
        <f>'CF 2025'!O22</f>
        <v>-157465.35840000003</v>
      </c>
      <c r="Z50" s="1">
        <f>'CF 2025'!P22</f>
        <v>-154509.23739999998</v>
      </c>
      <c r="AA50" s="1">
        <f>'CF 2025'!Q22</f>
        <v>-149017.06760000001</v>
      </c>
      <c r="AB50" s="1">
        <f>'CF 2025'!R22</f>
        <v>-146320.94660000002</v>
      </c>
      <c r="AC50" s="1">
        <f>'CF 2026'!G22</f>
        <v>-149271.79999999999</v>
      </c>
      <c r="AD50" s="1">
        <f>'CF 2026'!H22</f>
        <v>-146336.4</v>
      </c>
      <c r="AE50" s="1">
        <f>'CF 2026'!I22</f>
        <v>-133945</v>
      </c>
      <c r="AF50" s="1">
        <f>'CF 2026'!J22</f>
        <v>-199134.6</v>
      </c>
      <c r="AG50" s="1">
        <f>'CF 2026'!K22</f>
        <v>-126786.2</v>
      </c>
      <c r="AH50" s="1">
        <f>'CF 2026'!L22</f>
        <v>-123684.8</v>
      </c>
      <c r="AI50" s="1">
        <f>'CF 2026'!M22</f>
        <v>-122603.4</v>
      </c>
      <c r="AJ50" s="1">
        <f>'CF 2026'!N22</f>
        <v>-119262</v>
      </c>
      <c r="AK50" s="1">
        <f>'CF 2026'!O22</f>
        <v>-123788</v>
      </c>
      <c r="AL50" s="1">
        <f>'CF 2026'!P22</f>
        <v>-124309</v>
      </c>
      <c r="AM50" s="1">
        <f>'CF 2026'!Q22</f>
        <v>-126104</v>
      </c>
      <c r="AN50" s="1">
        <f>'CF 2026'!R22</f>
        <v>-132582</v>
      </c>
      <c r="AO50" s="1">
        <f>'CF 2027'!G22</f>
        <v>-163358.6</v>
      </c>
      <c r="AP50" s="1">
        <f>'CF 2027'!H22</f>
        <v>-167690.6</v>
      </c>
      <c r="AQ50" s="1">
        <f>'CF 2027'!I22</f>
        <v>-168993.6</v>
      </c>
      <c r="AR50" s="1">
        <f>'CF 2027'!J22</f>
        <v>-170220.6</v>
      </c>
      <c r="AS50" s="1">
        <f>'CF 2027'!K22</f>
        <v>-171429.6</v>
      </c>
      <c r="AT50" s="1">
        <f>'CF 2027'!L22</f>
        <v>-172656.6</v>
      </c>
      <c r="AU50" s="1">
        <f>'CF 2027'!M22</f>
        <v>-173959.6</v>
      </c>
      <c r="AV50" s="1">
        <f>'CF 2027'!N22</f>
        <v>-178655.6</v>
      </c>
      <c r="AW50" s="1">
        <f>'CF 2027'!O22</f>
        <v>-180130.6</v>
      </c>
      <c r="AX50" s="1">
        <f>'CF 2027'!P22</f>
        <v>-181491.6</v>
      </c>
      <c r="AY50" s="1">
        <f>'CF 2027'!Q22</f>
        <v>-184147.6</v>
      </c>
      <c r="AZ50" s="1">
        <f>'CF 2027'!R22</f>
        <v>-187969.40000000002</v>
      </c>
      <c r="BA50" s="1">
        <f>'CF 2028'!G22</f>
        <v>-186855.6</v>
      </c>
      <c r="BB50" s="1">
        <f>'CF 2028'!H22</f>
        <v>-188158.6</v>
      </c>
      <c r="BC50" s="1">
        <f>'CF 2028'!I22</f>
        <v>-191944.6</v>
      </c>
      <c r="BD50" s="1">
        <f>'CF 2028'!J22</f>
        <v>-193106.6</v>
      </c>
      <c r="BE50" s="1">
        <f>'CF 2028'!K22</f>
        <v>-194409.60000000001</v>
      </c>
      <c r="BF50" s="1">
        <f>'CF 2028'!L22</f>
        <v>-195542.6</v>
      </c>
      <c r="BG50" s="1">
        <f>'CF 2028'!M22</f>
        <v>-198794.6</v>
      </c>
      <c r="BH50" s="1">
        <f>'CF 2028'!N22</f>
        <v>-200021.6</v>
      </c>
      <c r="BI50" s="1">
        <f>'CF 2028'!O22</f>
        <v>-204764.6</v>
      </c>
      <c r="BJ50" s="1">
        <f>'CF 2028'!P22</f>
        <v>-206067.6</v>
      </c>
      <c r="BK50" s="1">
        <f>'CF 2028'!Q22</f>
        <v>-207446.6</v>
      </c>
      <c r="BL50" s="1">
        <f>'CF 2028'!R22</f>
        <v>-211452.40000000002</v>
      </c>
    </row>
    <row r="51" spans="4:64" x14ac:dyDescent="0.3">
      <c r="D51" t="s">
        <v>318</v>
      </c>
      <c r="E51" s="1">
        <f>'CF 2024'!G44</f>
        <v>157584</v>
      </c>
      <c r="F51" s="1">
        <f>'CF 2024'!H44</f>
        <v>224466.39999999997</v>
      </c>
      <c r="G51" s="1">
        <f>'CF 2024'!I44</f>
        <v>172949.2</v>
      </c>
      <c r="H51" s="1">
        <f>'CF 2024'!J44</f>
        <v>247672.8</v>
      </c>
      <c r="I51" s="1">
        <f>'CF 2024'!K44</f>
        <v>183624.4</v>
      </c>
      <c r="J51" s="1">
        <f>'CF 2024'!L44</f>
        <v>207224</v>
      </c>
      <c r="K51" s="1">
        <f>'CF 2024'!M44</f>
        <v>193735.59999999998</v>
      </c>
      <c r="L51" s="1">
        <f>'CF 2024'!N44</f>
        <v>212691.20000000001</v>
      </c>
      <c r="M51" s="1">
        <f>'CF 2024'!O44</f>
        <v>221418.8</v>
      </c>
      <c r="N51" s="1">
        <f>'CF 2024'!P44</f>
        <v>260202.40000000002</v>
      </c>
      <c r="O51" s="1">
        <f>'CF 2024'!Q44</f>
        <v>269162</v>
      </c>
      <c r="P51" s="1">
        <f>'CF 2024'!R44</f>
        <v>273661.59999999998</v>
      </c>
      <c r="Q51" s="1">
        <f>'CF 2025'!G44</f>
        <v>353963.78240000008</v>
      </c>
      <c r="R51" s="1">
        <f>'CF 2025'!H44</f>
        <v>363431.91359999997</v>
      </c>
      <c r="S51" s="1">
        <f>'CF 2025'!I44</f>
        <v>371328.04479999997</v>
      </c>
      <c r="T51" s="1">
        <f>'CF 2025'!J44</f>
        <v>379132.17599999998</v>
      </c>
      <c r="U51" s="1">
        <f>'CF 2025'!K44</f>
        <v>380645.51040000003</v>
      </c>
      <c r="V51" s="1">
        <f>'CF 2025'!L44</f>
        <v>386868.94239999994</v>
      </c>
      <c r="W51" s="1">
        <f>'CF 2025'!M44</f>
        <v>399707.17119999998</v>
      </c>
      <c r="X51" s="1">
        <f>'CF 2025'!N44</f>
        <v>400795.80639999988</v>
      </c>
      <c r="Y51" s="1">
        <f>'CF 2025'!O44</f>
        <v>417203.43359999999</v>
      </c>
      <c r="Z51" s="1">
        <f>'CF 2025'!P44</f>
        <v>422196.94959999993</v>
      </c>
      <c r="AA51" s="1">
        <f>'CF 2025'!Q44</f>
        <v>417046.27039999998</v>
      </c>
      <c r="AB51" s="1">
        <f>'CF 2025'!R44</f>
        <v>423079.78639999998</v>
      </c>
      <c r="AC51" s="1">
        <f>'CF 2026'!G44</f>
        <v>432701.19999999995</v>
      </c>
      <c r="AD51" s="1">
        <f>'CF 2026'!H44</f>
        <v>443061.6</v>
      </c>
      <c r="AE51" s="1">
        <f>'CF 2026'!I44</f>
        <v>415598</v>
      </c>
      <c r="AF51" s="1">
        <f>'CF 2026'!J44</f>
        <v>698458.4</v>
      </c>
      <c r="AG51" s="1">
        <f>'CF 2026'!K44</f>
        <v>431166.8</v>
      </c>
      <c r="AH51" s="1">
        <f>'CF 2026'!L44</f>
        <v>440863.2</v>
      </c>
      <c r="AI51" s="1">
        <f>'CF 2026'!M44</f>
        <v>458639.6</v>
      </c>
      <c r="AJ51" s="1">
        <f>'CF 2026'!N44</f>
        <v>467376</v>
      </c>
      <c r="AK51" s="1">
        <f>'CF 2026'!O44</f>
        <v>493952</v>
      </c>
      <c r="AL51" s="1">
        <f>'CF 2026'!P44</f>
        <v>496036</v>
      </c>
      <c r="AM51" s="1">
        <f>'CF 2026'!Q44</f>
        <v>503216</v>
      </c>
      <c r="AN51" s="1">
        <f>'CF 2026'!R44</f>
        <v>529128</v>
      </c>
      <c r="AO51" s="1">
        <f>'CF 2027'!G44</f>
        <v>719816.4</v>
      </c>
      <c r="AP51" s="1">
        <f>'CF 2027'!H44</f>
        <v>737144.4</v>
      </c>
      <c r="AQ51" s="1">
        <f>'CF 2027'!I44</f>
        <v>742356.4</v>
      </c>
      <c r="AR51" s="1">
        <f>'CF 2027'!J44</f>
        <v>747264.4</v>
      </c>
      <c r="AS51" s="1">
        <f>'CF 2027'!K44</f>
        <v>752100.4</v>
      </c>
      <c r="AT51" s="1">
        <f>'CF 2027'!L44</f>
        <v>757008.4</v>
      </c>
      <c r="AU51" s="1">
        <f>'CF 2027'!M44</f>
        <v>762220.4</v>
      </c>
      <c r="AV51" s="1">
        <f>'CF 2027'!N44</f>
        <v>781004.4</v>
      </c>
      <c r="AW51" s="1">
        <f>'CF 2027'!O44</f>
        <v>786904.4</v>
      </c>
      <c r="AX51" s="1">
        <f>'CF 2027'!P44</f>
        <v>792348.4</v>
      </c>
      <c r="AY51" s="1">
        <f>'CF 2027'!Q44</f>
        <v>802972.4</v>
      </c>
      <c r="AZ51" s="1">
        <f>'CF 2027'!R44</f>
        <v>807025.6</v>
      </c>
      <c r="BA51" s="1">
        <f>'CF 2028'!G44</f>
        <v>813804.4</v>
      </c>
      <c r="BB51" s="1">
        <f>'CF 2028'!H44</f>
        <v>819016.4</v>
      </c>
      <c r="BC51" s="1">
        <f>'CF 2028'!I44</f>
        <v>840060.4</v>
      </c>
      <c r="BD51" s="1">
        <f>'CF 2028'!J44</f>
        <v>844708.4</v>
      </c>
      <c r="BE51" s="1">
        <f>'CF 2028'!K44</f>
        <v>849920.4</v>
      </c>
      <c r="BF51" s="1">
        <f>'CF 2028'!L44</f>
        <v>854452.4</v>
      </c>
      <c r="BG51" s="1">
        <f>'CF 2028'!M44</f>
        <v>867460.4</v>
      </c>
      <c r="BH51" s="1">
        <f>'CF 2028'!N44</f>
        <v>872368.4</v>
      </c>
      <c r="BI51" s="1">
        <f>'CF 2028'!O44</f>
        <v>891340.4</v>
      </c>
      <c r="BJ51" s="1">
        <f>'CF 2028'!P44</f>
        <v>896552.4</v>
      </c>
      <c r="BK51" s="1">
        <f>'CF 2028'!Q44</f>
        <v>902068.4</v>
      </c>
      <c r="BL51" s="1">
        <f>'CF 2028'!R44</f>
        <v>906857.6</v>
      </c>
    </row>
  </sheetData>
  <mergeCells count="6">
    <mergeCell ref="BF40:BG40"/>
    <mergeCell ref="B25:G25"/>
    <mergeCell ref="J40:K40"/>
    <mergeCell ref="V40:W40"/>
    <mergeCell ref="AH40:AI40"/>
    <mergeCell ref="AT40:AU40"/>
  </mergeCells>
  <phoneticPr fontId="7" type="noConversion"/>
  <pageMargins left="0.7" right="0.7" top="0.75" bottom="0.75" header="0.3" footer="0.3"/>
  <pageSetup paperSize="9" orientation="portrait" horizontalDpi="1200" verticalDpi="1200" r:id="rId1"/>
  <ignoredErrors>
    <ignoredError sqref="D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867D-A35F-407E-8EA4-B2A4D82E260A}">
  <sheetPr codeName="Sheet1"/>
  <dimension ref="B2:V99"/>
  <sheetViews>
    <sheetView showGridLines="0" topLeftCell="A70" zoomScale="96" zoomScaleNormal="96" workbookViewId="0">
      <selection activeCell="K99" sqref="K99:V99"/>
    </sheetView>
  </sheetViews>
  <sheetFormatPr defaultRowHeight="14.4" x14ac:dyDescent="0.3"/>
  <cols>
    <col min="1" max="1" width="2.44140625" customWidth="1"/>
    <col min="5" max="5" width="12.6640625" customWidth="1"/>
    <col min="6" max="6" width="11.109375" customWidth="1"/>
    <col min="7" max="7" width="11.5546875" customWidth="1"/>
    <col min="8" max="9" width="11.6640625" customWidth="1"/>
    <col min="10" max="10" width="3.6640625" customWidth="1"/>
    <col min="11" max="11" width="12.77734375" customWidth="1"/>
    <col min="12" max="12" width="10.109375" bestFit="1" customWidth="1"/>
    <col min="13" max="13" width="10.33203125" customWidth="1"/>
    <col min="14" max="15" width="10.109375" customWidth="1"/>
    <col min="16" max="16" width="10" customWidth="1"/>
    <col min="17" max="18" width="10.109375" customWidth="1"/>
    <col min="19" max="20" width="9.77734375" customWidth="1"/>
    <col min="21" max="21" width="9.6640625" customWidth="1"/>
    <col min="22" max="22" width="9.77734375" customWidth="1"/>
  </cols>
  <sheetData>
    <row r="2" spans="2:22" x14ac:dyDescent="0.3">
      <c r="B2" s="181" t="s">
        <v>329</v>
      </c>
      <c r="C2" s="181"/>
      <c r="D2" s="181"/>
      <c r="E2" s="181"/>
      <c r="F2" s="154"/>
      <c r="G2" s="154"/>
      <c r="H2" s="154"/>
      <c r="I2" s="154"/>
      <c r="J2" s="154"/>
      <c r="K2" s="387" t="s">
        <v>334</v>
      </c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4" spans="2:22" x14ac:dyDescent="0.3">
      <c r="B4" s="199" t="s">
        <v>27</v>
      </c>
      <c r="C4" s="199"/>
      <c r="D4" s="199"/>
      <c r="E4" s="200">
        <v>2024</v>
      </c>
      <c r="F4" s="200">
        <v>2025</v>
      </c>
      <c r="G4" s="200">
        <v>2026</v>
      </c>
      <c r="H4" s="200">
        <v>2027</v>
      </c>
      <c r="I4" s="200">
        <v>2028</v>
      </c>
      <c r="J4" s="199"/>
      <c r="K4" s="200" t="s">
        <v>32</v>
      </c>
      <c r="L4" s="200" t="s">
        <v>33</v>
      </c>
      <c r="M4" s="200" t="s">
        <v>34</v>
      </c>
      <c r="N4" s="200" t="s">
        <v>35</v>
      </c>
      <c r="O4" s="200" t="s">
        <v>36</v>
      </c>
      <c r="P4" s="200" t="s">
        <v>37</v>
      </c>
      <c r="Q4" s="200" t="s">
        <v>38</v>
      </c>
      <c r="R4" s="200" t="s">
        <v>39</v>
      </c>
      <c r="S4" s="200" t="s">
        <v>40</v>
      </c>
      <c r="T4" s="200" t="s">
        <v>41</v>
      </c>
      <c r="U4" s="200" t="s">
        <v>42</v>
      </c>
      <c r="V4" s="200" t="s">
        <v>43</v>
      </c>
    </row>
    <row r="5" spans="2:22" x14ac:dyDescent="0.3">
      <c r="B5" t="s">
        <v>44</v>
      </c>
      <c r="E5" s="211">
        <f t="shared" ref="E5:E17" si="0">V5</f>
        <v>449900</v>
      </c>
      <c r="F5" s="211">
        <f>'Statements Summary 2025'!V5</f>
        <v>586218.73300000001</v>
      </c>
      <c r="G5" s="211">
        <f>'Statements Summary 2026'!V5</f>
        <v>661710</v>
      </c>
      <c r="H5" s="211">
        <f>'Statements Summary 2027'!V5</f>
        <v>994995</v>
      </c>
      <c r="I5" s="211">
        <f>'Statements Summary 2028'!V5</f>
        <v>1118310</v>
      </c>
      <c r="K5" s="211">
        <f>'CF 2024'!G11</f>
        <v>330030</v>
      </c>
      <c r="L5" s="211">
        <f>'CF 2024'!H11</f>
        <v>430451</v>
      </c>
      <c r="M5" s="211">
        <f>'CF 2024'!I11</f>
        <v>361850</v>
      </c>
      <c r="N5" s="211">
        <f>'CF 2024'!J11</f>
        <v>451050</v>
      </c>
      <c r="O5" s="211">
        <f>'CF 2024'!K11</f>
        <v>366785</v>
      </c>
      <c r="P5" s="211">
        <f>'CF 2024'!L11</f>
        <v>392080</v>
      </c>
      <c r="Q5" s="211">
        <f>'CF 2024'!M11</f>
        <v>371015</v>
      </c>
      <c r="R5" s="211">
        <f>'CF 2024'!N11</f>
        <v>390505</v>
      </c>
      <c r="S5" s="211">
        <f>'CF 2024'!O11</f>
        <v>397210</v>
      </c>
      <c r="T5" s="211">
        <f>'CF 2024'!P11</f>
        <v>441485</v>
      </c>
      <c r="U5" s="211">
        <f>'CF 2024'!Q11</f>
        <v>448480</v>
      </c>
      <c r="V5" s="211">
        <f>'CF 2024'!R11</f>
        <v>449900</v>
      </c>
    </row>
    <row r="6" spans="2:22" x14ac:dyDescent="0.3">
      <c r="B6" t="s">
        <v>45</v>
      </c>
      <c r="E6" s="211">
        <f t="shared" si="0"/>
        <v>-625</v>
      </c>
      <c r="F6" s="211">
        <f>'Statements Summary 2025'!V6</f>
        <v>-625</v>
      </c>
      <c r="G6" s="211">
        <f>'Statements Summary 2026'!V6</f>
        <v>-625</v>
      </c>
      <c r="H6" s="211">
        <f>'Statements Summary 2027'!V6</f>
        <v>-625</v>
      </c>
      <c r="I6" s="211">
        <f>'Statements Summary 2028'!V6</f>
        <v>-625</v>
      </c>
      <c r="K6" s="211">
        <f>'CF 2024'!G18</f>
        <v>-625</v>
      </c>
      <c r="L6" s="211">
        <f>'CF 2024'!H18</f>
        <v>-625</v>
      </c>
      <c r="M6" s="211">
        <f>'CF 2024'!I18</f>
        <v>-625</v>
      </c>
      <c r="N6" s="211">
        <f>'CF 2024'!J18</f>
        <v>-625</v>
      </c>
      <c r="O6" s="211">
        <f>'CF 2024'!K18</f>
        <v>-625</v>
      </c>
      <c r="P6" s="211">
        <f>'CF 2024'!L18</f>
        <v>-625</v>
      </c>
      <c r="Q6" s="211">
        <f>'CF 2024'!M18</f>
        <v>-625</v>
      </c>
      <c r="R6" s="211">
        <f>'CF 2024'!N18</f>
        <v>-625</v>
      </c>
      <c r="S6" s="211">
        <f>'CF 2024'!O18</f>
        <v>-625</v>
      </c>
      <c r="T6" s="211">
        <f>'CF 2024'!P18</f>
        <v>-625</v>
      </c>
      <c r="U6" s="211">
        <f>'CF 2024'!Q18</f>
        <v>-625</v>
      </c>
      <c r="V6" s="211">
        <f>'CF 2024'!R18</f>
        <v>-625</v>
      </c>
    </row>
    <row r="7" spans="2:22" x14ac:dyDescent="0.3">
      <c r="B7" t="s">
        <v>46</v>
      </c>
      <c r="E7" s="211">
        <f t="shared" si="0"/>
        <v>-16818</v>
      </c>
      <c r="F7" s="211">
        <f>'Statements Summary 2025'!V7</f>
        <v>-16818</v>
      </c>
      <c r="G7" s="211">
        <f>'Statements Summary 2026'!V7</f>
        <v>0</v>
      </c>
      <c r="H7" s="211">
        <f>'Statements Summary 2027'!V7</f>
        <v>0</v>
      </c>
      <c r="I7" s="211">
        <f>'Statements Summary 2028'!V7</f>
        <v>0</v>
      </c>
      <c r="K7" s="211" t="s">
        <v>195</v>
      </c>
      <c r="L7" s="211">
        <f>'CF 2024'!H34</f>
        <v>-16818</v>
      </c>
      <c r="M7" s="211">
        <f>'CF 2024'!I34</f>
        <v>-16818</v>
      </c>
      <c r="N7" s="211">
        <f>'CF 2024'!J34</f>
        <v>-16818</v>
      </c>
      <c r="O7" s="211">
        <f>'CF 2024'!K34</f>
        <v>-16818</v>
      </c>
      <c r="P7" s="211">
        <f>'CF 2024'!L34</f>
        <v>-16818</v>
      </c>
      <c r="Q7" s="211">
        <f>'CF 2024'!M34</f>
        <v>-16818</v>
      </c>
      <c r="R7" s="211">
        <f>'CF 2024'!N34</f>
        <v>-16818</v>
      </c>
      <c r="S7" s="211">
        <f>'CF 2024'!O34</f>
        <v>-16818</v>
      </c>
      <c r="T7" s="211">
        <f>'CF 2024'!P34</f>
        <v>-16818</v>
      </c>
      <c r="U7" s="211">
        <f>'CF 2024'!Q34</f>
        <v>-16818</v>
      </c>
      <c r="V7" s="211">
        <f>'CF 2024'!R34</f>
        <v>-16818</v>
      </c>
    </row>
    <row r="8" spans="2:22" x14ac:dyDescent="0.3">
      <c r="B8" t="s">
        <v>18</v>
      </c>
      <c r="E8" s="211">
        <f t="shared" si="0"/>
        <v>290479.59999999998</v>
      </c>
      <c r="F8" s="211">
        <f>'Statements Summary 2025'!V8</f>
        <v>439897.78639999998</v>
      </c>
      <c r="G8" s="211">
        <f>'Statements Summary 2026'!V8</f>
        <v>529128</v>
      </c>
      <c r="H8" s="211">
        <f>'Statements Summary 2027'!V8</f>
        <v>807025.6</v>
      </c>
      <c r="I8" s="211">
        <f>'Statements Summary 2028'!V8</f>
        <v>906857.6</v>
      </c>
      <c r="K8" s="211">
        <f>'CF 2024'!G23</f>
        <v>157584</v>
      </c>
      <c r="L8" s="211">
        <f>'CF 2024'!H23</f>
        <v>241284.39999999997</v>
      </c>
      <c r="M8" s="211">
        <f>'CF 2024'!I23</f>
        <v>189767.2</v>
      </c>
      <c r="N8" s="211">
        <f>'CF 2024'!J23</f>
        <v>264490.8</v>
      </c>
      <c r="O8" s="211">
        <f>'CF 2024'!K23</f>
        <v>200442.4</v>
      </c>
      <c r="P8" s="211">
        <f>'CF 2024'!L23</f>
        <v>224042</v>
      </c>
      <c r="Q8" s="211">
        <f>'CF 2024'!M23</f>
        <v>210553.59999999998</v>
      </c>
      <c r="R8" s="211">
        <f>'CF 2024'!N23</f>
        <v>229509.2</v>
      </c>
      <c r="S8" s="211">
        <f>'CF 2024'!O23</f>
        <v>238236.79999999999</v>
      </c>
      <c r="T8" s="211">
        <f>'CF 2024'!P23</f>
        <v>277020.40000000002</v>
      </c>
      <c r="U8" s="211">
        <f>'CF 2024'!Q23</f>
        <v>285980</v>
      </c>
      <c r="V8" s="211">
        <f>'CF 2024'!R23</f>
        <v>290479.59999999998</v>
      </c>
    </row>
    <row r="9" spans="2:22" x14ac:dyDescent="0.3">
      <c r="B9" t="s">
        <v>47</v>
      </c>
      <c r="E9" s="211" t="str">
        <f t="shared" si="0"/>
        <v>-</v>
      </c>
      <c r="F9" s="211" t="str">
        <f>'Statements Summary 2025'!V9</f>
        <v>-</v>
      </c>
      <c r="G9" s="211">
        <f>'Statements Summary 2026'!V9</f>
        <v>0</v>
      </c>
      <c r="H9" s="211">
        <f>'Statements Summary 2027'!V9</f>
        <v>0</v>
      </c>
      <c r="I9" s="211">
        <f>'Statements Summary 2028'!V9</f>
        <v>0</v>
      </c>
      <c r="K9" s="211">
        <f>'CF 2024'!G28</f>
        <v>450000</v>
      </c>
      <c r="L9" s="211" t="s">
        <v>195</v>
      </c>
      <c r="M9" s="211" t="s">
        <v>195</v>
      </c>
      <c r="N9" s="211" t="s">
        <v>195</v>
      </c>
      <c r="O9" s="211" t="s">
        <v>195</v>
      </c>
      <c r="P9" s="211" t="s">
        <v>195</v>
      </c>
      <c r="Q9" s="211" t="s">
        <v>195</v>
      </c>
      <c r="R9" s="211" t="s">
        <v>195</v>
      </c>
      <c r="S9" s="211" t="s">
        <v>195</v>
      </c>
      <c r="T9" s="211" t="s">
        <v>195</v>
      </c>
      <c r="U9" s="211" t="s">
        <v>195</v>
      </c>
      <c r="V9" s="211" t="s">
        <v>195</v>
      </c>
    </row>
    <row r="10" spans="2:22" x14ac:dyDescent="0.3">
      <c r="B10" t="s">
        <v>48</v>
      </c>
      <c r="E10" s="211" t="str">
        <f t="shared" si="0"/>
        <v>-</v>
      </c>
      <c r="F10" s="211" t="str">
        <f>'Statements Summary 2025'!V10</f>
        <v>-</v>
      </c>
      <c r="G10" s="211" t="str">
        <f>'Statements Summary 2026'!V10</f>
        <v>-</v>
      </c>
      <c r="H10" s="211" t="str">
        <f>'Statements Summary 2027'!V10</f>
        <v>-</v>
      </c>
      <c r="I10" s="211" t="str">
        <f>'Statements Summary 2028'!V10</f>
        <v>-</v>
      </c>
      <c r="K10" s="211" t="s">
        <v>195</v>
      </c>
      <c r="L10" s="211" t="s">
        <v>195</v>
      </c>
      <c r="M10" s="211" t="s">
        <v>195</v>
      </c>
      <c r="N10" s="211" t="s">
        <v>195</v>
      </c>
      <c r="O10" s="211" t="s">
        <v>195</v>
      </c>
      <c r="P10" s="211" t="s">
        <v>195</v>
      </c>
      <c r="Q10" s="211" t="s">
        <v>195</v>
      </c>
      <c r="R10" s="211" t="s">
        <v>195</v>
      </c>
      <c r="S10" s="211" t="s">
        <v>195</v>
      </c>
      <c r="T10" s="211" t="s">
        <v>195</v>
      </c>
      <c r="U10" s="211" t="s">
        <v>195</v>
      </c>
      <c r="V10" s="211" t="s">
        <v>195</v>
      </c>
    </row>
    <row r="11" spans="2:22" x14ac:dyDescent="0.3">
      <c r="B11" t="s">
        <v>49</v>
      </c>
      <c r="E11" s="211" t="str">
        <f t="shared" si="0"/>
        <v>-</v>
      </c>
      <c r="F11" s="211" t="str">
        <f>'Statements Summary 2025'!V11</f>
        <v>-</v>
      </c>
      <c r="G11" s="211" t="str">
        <f>'Statements Summary 2026'!V11</f>
        <v>-</v>
      </c>
      <c r="H11" s="211" t="str">
        <f>'Statements Summary 2027'!V11</f>
        <v>-</v>
      </c>
      <c r="I11" s="211" t="str">
        <f>'Statements Summary 2028'!V11</f>
        <v>-</v>
      </c>
      <c r="K11" s="211">
        <f>'CF 2024'!G28</f>
        <v>450000</v>
      </c>
      <c r="L11" s="211" t="s">
        <v>195</v>
      </c>
      <c r="M11" s="211" t="s">
        <v>195</v>
      </c>
      <c r="N11" s="211" t="s">
        <v>195</v>
      </c>
      <c r="O11" s="211" t="s">
        <v>195</v>
      </c>
      <c r="P11" s="211" t="s">
        <v>195</v>
      </c>
      <c r="Q11" s="211" t="s">
        <v>195</v>
      </c>
      <c r="R11" s="211" t="s">
        <v>195</v>
      </c>
      <c r="S11" s="211" t="s">
        <v>195</v>
      </c>
      <c r="T11" s="211" t="s">
        <v>195</v>
      </c>
      <c r="U11" s="211" t="s">
        <v>195</v>
      </c>
      <c r="V11" s="211" t="s">
        <v>195</v>
      </c>
    </row>
    <row r="12" spans="2:22" x14ac:dyDescent="0.3">
      <c r="B12" t="s">
        <v>50</v>
      </c>
      <c r="E12" s="211">
        <f t="shared" si="0"/>
        <v>-16818</v>
      </c>
      <c r="F12" s="211">
        <f>'Statements Summary 2025'!V12</f>
        <v>-16818</v>
      </c>
      <c r="G12" s="211">
        <f>'Statements Summary 2026'!V12</f>
        <v>0</v>
      </c>
      <c r="H12" s="211">
        <f>'Statements Summary 2027'!V12</f>
        <v>0</v>
      </c>
      <c r="I12" s="211">
        <f>'Statements Summary 2028'!V12</f>
        <v>0</v>
      </c>
      <c r="K12" s="211" t="s">
        <v>195</v>
      </c>
      <c r="L12" s="211">
        <f>'CF 2024'!H34</f>
        <v>-16818</v>
      </c>
      <c r="M12" s="211">
        <f>'CF 2024'!I34</f>
        <v>-16818</v>
      </c>
      <c r="N12" s="211">
        <f>'CF 2024'!J34</f>
        <v>-16818</v>
      </c>
      <c r="O12" s="211">
        <f>'CF 2024'!K34</f>
        <v>-16818</v>
      </c>
      <c r="P12" s="211">
        <f>'CF 2024'!L34</f>
        <v>-16818</v>
      </c>
      <c r="Q12" s="211">
        <f>'CF 2024'!M34</f>
        <v>-16818</v>
      </c>
      <c r="R12" s="211">
        <f>'CF 2024'!N34</f>
        <v>-16818</v>
      </c>
      <c r="S12" s="211">
        <f>'CF 2024'!O34</f>
        <v>-16818</v>
      </c>
      <c r="T12" s="211">
        <f>'CF 2024'!P34</f>
        <v>-16818</v>
      </c>
      <c r="U12" s="211">
        <f>'CF 2024'!Q34</f>
        <v>-16818</v>
      </c>
      <c r="V12" s="211">
        <f>'CF 2024'!R34</f>
        <v>-16818</v>
      </c>
    </row>
    <row r="13" spans="2:22" x14ac:dyDescent="0.3">
      <c r="B13" t="s">
        <v>51</v>
      </c>
      <c r="E13" s="211" t="str">
        <f t="shared" si="0"/>
        <v>-</v>
      </c>
      <c r="F13" s="211" t="str">
        <f>'Statements Summary 2025'!V13</f>
        <v>-</v>
      </c>
      <c r="G13" s="211" t="str">
        <f>'Statements Summary 2026'!V13</f>
        <v>-</v>
      </c>
      <c r="H13" s="211" t="str">
        <f>'Statements Summary 2027'!V13</f>
        <v>-</v>
      </c>
      <c r="I13" s="211" t="str">
        <f>'Statements Summary 2028'!V13</f>
        <v>-</v>
      </c>
      <c r="K13" s="211" t="s">
        <v>195</v>
      </c>
      <c r="L13" s="211" t="s">
        <v>195</v>
      </c>
      <c r="M13" s="211" t="s">
        <v>195</v>
      </c>
      <c r="N13" s="211" t="s">
        <v>195</v>
      </c>
      <c r="O13" s="211" t="s">
        <v>195</v>
      </c>
      <c r="P13" s="211" t="s">
        <v>195</v>
      </c>
      <c r="Q13" s="211" t="s">
        <v>195</v>
      </c>
      <c r="R13" s="211" t="s">
        <v>195</v>
      </c>
      <c r="S13" s="211" t="s">
        <v>195</v>
      </c>
      <c r="T13" s="211" t="s">
        <v>195</v>
      </c>
      <c r="U13" s="211" t="s">
        <v>195</v>
      </c>
      <c r="V13" s="211" t="s">
        <v>195</v>
      </c>
    </row>
    <row r="14" spans="2:22" x14ac:dyDescent="0.3">
      <c r="B14" t="s">
        <v>52</v>
      </c>
      <c r="E14" s="211" t="str">
        <f t="shared" si="0"/>
        <v>-</v>
      </c>
      <c r="F14" s="211" t="str">
        <f>'Statements Summary 2025'!V14</f>
        <v>-</v>
      </c>
      <c r="G14" s="211" t="str">
        <f>'Statements Summary 2026'!V14</f>
        <v>-</v>
      </c>
      <c r="H14" s="211" t="str">
        <f>'Statements Summary 2027'!V14</f>
        <v>-</v>
      </c>
      <c r="I14" s="211" t="str">
        <f>'Statements Summary 2028'!V14</f>
        <v>-</v>
      </c>
      <c r="K14" s="211" t="s">
        <v>195</v>
      </c>
      <c r="L14" s="211" t="s">
        <v>195</v>
      </c>
      <c r="M14" s="211" t="s">
        <v>195</v>
      </c>
      <c r="N14" s="211" t="s">
        <v>195</v>
      </c>
      <c r="O14" s="211" t="s">
        <v>195</v>
      </c>
      <c r="P14" s="211" t="s">
        <v>195</v>
      </c>
      <c r="Q14" s="211" t="s">
        <v>195</v>
      </c>
      <c r="R14" s="211" t="s">
        <v>195</v>
      </c>
      <c r="S14" s="211" t="s">
        <v>195</v>
      </c>
      <c r="T14" s="211" t="s">
        <v>195</v>
      </c>
      <c r="U14" s="211" t="s">
        <v>195</v>
      </c>
      <c r="V14" s="211" t="s">
        <v>195</v>
      </c>
    </row>
    <row r="15" spans="2:22" x14ac:dyDescent="0.3">
      <c r="B15" t="s">
        <v>53</v>
      </c>
      <c r="E15" s="211">
        <f t="shared" si="0"/>
        <v>-16818</v>
      </c>
      <c r="F15" s="211">
        <f>'Statements Summary 2025'!V15</f>
        <v>-16818</v>
      </c>
      <c r="G15" s="211">
        <f>'Statements Summary 2026'!V15</f>
        <v>0</v>
      </c>
      <c r="H15" s="211">
        <f>'Statements Summary 2027'!V15</f>
        <v>0</v>
      </c>
      <c r="I15" s="211">
        <f>'Statements Summary 2028'!V15</f>
        <v>0</v>
      </c>
      <c r="K15" s="211" t="s">
        <v>195</v>
      </c>
      <c r="L15" s="211">
        <f>'CF 2024'!H34</f>
        <v>-16818</v>
      </c>
      <c r="M15" s="211">
        <f>'CF 2024'!I34</f>
        <v>-16818</v>
      </c>
      <c r="N15" s="211">
        <f>'CF 2024'!J34</f>
        <v>-16818</v>
      </c>
      <c r="O15" s="211">
        <f>'CF 2024'!K34</f>
        <v>-16818</v>
      </c>
      <c r="P15" s="211">
        <f>'CF 2024'!L34</f>
        <v>-16818</v>
      </c>
      <c r="Q15" s="211">
        <f>'CF 2024'!M34</f>
        <v>-16818</v>
      </c>
      <c r="R15" s="211">
        <f>'CF 2024'!N34</f>
        <v>-16818</v>
      </c>
      <c r="S15" s="211">
        <f>'CF 2024'!O34</f>
        <v>-16818</v>
      </c>
      <c r="T15" s="211">
        <f>'CF 2024'!P34</f>
        <v>-16818</v>
      </c>
      <c r="U15" s="211">
        <f>'CF 2024'!Q34</f>
        <v>-16818</v>
      </c>
      <c r="V15" s="211">
        <f>'CF 2024'!R34</f>
        <v>-16818</v>
      </c>
    </row>
    <row r="16" spans="2:22" x14ac:dyDescent="0.3">
      <c r="B16" t="s">
        <v>200</v>
      </c>
      <c r="E16" s="211">
        <f t="shared" si="0"/>
        <v>290479.59999999998</v>
      </c>
      <c r="F16" s="211">
        <f>'Statements Summary 2025'!V16</f>
        <v>439897.78639999998</v>
      </c>
      <c r="G16" s="211">
        <f>'Statements Summary 2026'!V16</f>
        <v>529128</v>
      </c>
      <c r="H16" s="211">
        <f>'Statements Summary 2027'!V16</f>
        <v>807025.6</v>
      </c>
      <c r="I16" s="211">
        <f>'Statements Summary 2028'!V16</f>
        <v>906857.6</v>
      </c>
      <c r="K16" s="211">
        <f>'CF 2024'!G46</f>
        <v>450000</v>
      </c>
      <c r="L16" s="211">
        <f>'CF 2024'!H23</f>
        <v>241284.39999999997</v>
      </c>
      <c r="M16" s="211">
        <f>'CF 2024'!I23</f>
        <v>189767.2</v>
      </c>
      <c r="N16" s="211">
        <f>'CF 2024'!J23</f>
        <v>264490.8</v>
      </c>
      <c r="O16" s="211">
        <f>'CF 2024'!K23</f>
        <v>200442.4</v>
      </c>
      <c r="P16" s="211">
        <f>'CF 2024'!L23</f>
        <v>224042</v>
      </c>
      <c r="Q16" s="211">
        <f>'CF 2024'!M23</f>
        <v>210553.59999999998</v>
      </c>
      <c r="R16" s="211">
        <f>'CF 2024'!N23</f>
        <v>229509.2</v>
      </c>
      <c r="S16" s="211">
        <f>'CF 2024'!O23</f>
        <v>238236.79999999999</v>
      </c>
      <c r="T16" s="211">
        <f>'CF 2024'!P23</f>
        <v>277020.40000000002</v>
      </c>
      <c r="U16" s="211">
        <f>'CF 2024'!Q23</f>
        <v>285980</v>
      </c>
      <c r="V16" s="211">
        <f>'CF 2024'!R23</f>
        <v>290479.59999999998</v>
      </c>
    </row>
    <row r="17" spans="2:22" x14ac:dyDescent="0.3">
      <c r="B17" t="s">
        <v>54</v>
      </c>
      <c r="E17" s="211">
        <f t="shared" si="0"/>
        <v>564141.19999999995</v>
      </c>
      <c r="F17" s="211">
        <f>'Statements Summary 2025'!V17</f>
        <v>862977.57279999997</v>
      </c>
      <c r="G17" s="211">
        <f>'Statements Summary 2026'!V17</f>
        <v>1058256</v>
      </c>
      <c r="H17" s="211">
        <f>'Statements Summary 2027'!V17</f>
        <v>1614051.2000000002</v>
      </c>
      <c r="I17" s="211">
        <f>'Statements Summary 2028'!V17</f>
        <v>1813715.2000000002</v>
      </c>
      <c r="K17" s="211">
        <f>'CF 2024'!G44+'CF 2024'!G21+'CF 2024'!G22</f>
        <v>315168</v>
      </c>
      <c r="L17" s="211">
        <f>'CF 2024'!H44+'CF 2024'!H21+'CF 2024'!H22</f>
        <v>465750.79999999987</v>
      </c>
      <c r="M17" s="211">
        <f>'CF 2024'!I44+'CF 2024'!I21+'CF 2024'!I22</f>
        <v>362716.39999999997</v>
      </c>
      <c r="N17" s="211">
        <f>'CF 2024'!J44+'CF 2024'!J21+'CF 2024'!J22</f>
        <v>512163.60000000003</v>
      </c>
      <c r="O17" s="211">
        <f>'CF 2024'!K44+'CF 2024'!K21+'CF 2024'!K22</f>
        <v>384066.80000000005</v>
      </c>
      <c r="P17" s="211">
        <f>'CF 2024'!L44+'CF 2024'!L21+'CF 2024'!L22</f>
        <v>431266</v>
      </c>
      <c r="Q17" s="211">
        <f>'CF 2024'!M44+'CF 2024'!M21+'CF 2024'!M22</f>
        <v>404289.19999999995</v>
      </c>
      <c r="R17" s="211">
        <f>'CF 2024'!N44+'CF 2024'!N21+'CF 2024'!N22</f>
        <v>442200.39999999997</v>
      </c>
      <c r="S17" s="211">
        <f>'CF 2024'!O44+'CF 2024'!O21+'CF 2024'!O22</f>
        <v>459655.60000000003</v>
      </c>
      <c r="T17" s="211">
        <f>'CF 2024'!P44+'CF 2024'!P21+'CF 2024'!P22</f>
        <v>537222.80000000005</v>
      </c>
      <c r="U17" s="211">
        <f>'CF 2024'!Q44+'CF 2024'!Q21+'CF 2024'!Q22</f>
        <v>555142</v>
      </c>
      <c r="V17" s="211">
        <f>'CF 2024'!R44+'CF 2024'!R21+'CF 2024'!R22</f>
        <v>564141.19999999995</v>
      </c>
    </row>
    <row r="19" spans="2:22" x14ac:dyDescent="0.3">
      <c r="B19" s="181" t="s">
        <v>329</v>
      </c>
      <c r="C19" s="154"/>
      <c r="D19" s="154"/>
      <c r="E19" s="154"/>
      <c r="F19" s="154"/>
      <c r="G19" s="154"/>
      <c r="H19" s="154"/>
      <c r="I19" s="154"/>
      <c r="K19" s="387" t="s">
        <v>334</v>
      </c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</row>
    <row r="41" spans="2:22" x14ac:dyDescent="0.3">
      <c r="B41" s="181" t="s">
        <v>331</v>
      </c>
      <c r="C41" s="181"/>
      <c r="D41" s="181"/>
      <c r="E41" s="181"/>
      <c r="F41" s="154"/>
      <c r="G41" s="154"/>
      <c r="H41" s="154"/>
      <c r="I41" s="154"/>
      <c r="J41" s="154"/>
      <c r="K41" s="387" t="s">
        <v>202</v>
      </c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</row>
    <row r="43" spans="2:22" x14ac:dyDescent="0.3">
      <c r="B43" s="199" t="s">
        <v>27</v>
      </c>
      <c r="C43" s="199"/>
      <c r="D43" s="199"/>
      <c r="E43" s="200">
        <v>2024</v>
      </c>
      <c r="F43" s="200">
        <v>2025</v>
      </c>
      <c r="G43" s="200">
        <v>2026</v>
      </c>
      <c r="H43" s="200">
        <v>2027</v>
      </c>
      <c r="I43" s="200">
        <v>2028</v>
      </c>
      <c r="J43" s="199"/>
      <c r="K43" s="200" t="s">
        <v>32</v>
      </c>
      <c r="L43" s="200" t="s">
        <v>33</v>
      </c>
      <c r="M43" s="200" t="s">
        <v>34</v>
      </c>
      <c r="N43" s="200" t="s">
        <v>35</v>
      </c>
      <c r="O43" s="200" t="s">
        <v>36</v>
      </c>
      <c r="P43" s="200" t="s">
        <v>37</v>
      </c>
      <c r="Q43" s="200" t="s">
        <v>38</v>
      </c>
      <c r="R43" s="200" t="s">
        <v>39</v>
      </c>
      <c r="S43" s="200" t="s">
        <v>40</v>
      </c>
      <c r="T43" s="200" t="s">
        <v>41</v>
      </c>
      <c r="U43" s="200" t="s">
        <v>42</v>
      </c>
      <c r="V43" s="200" t="s">
        <v>43</v>
      </c>
    </row>
    <row r="44" spans="2:22" x14ac:dyDescent="0.3">
      <c r="B44" s="23" t="s">
        <v>2</v>
      </c>
      <c r="C44" s="23"/>
      <c r="D44" s="23"/>
      <c r="E44" s="215">
        <f t="shared" ref="E44:E64" si="1">V44</f>
        <v>449900</v>
      </c>
      <c r="F44" s="215">
        <f>'Statements Summary 2025'!V45</f>
        <v>586218.73300000001</v>
      </c>
      <c r="G44" s="215">
        <f>'Statements Summary 2026'!V45</f>
        <v>661710</v>
      </c>
      <c r="H44" s="215">
        <f>'Statements Summary 2027'!V45</f>
        <v>994995</v>
      </c>
      <c r="I44" s="215">
        <f>'Statements Summary 2028'!V45</f>
        <v>1118310</v>
      </c>
      <c r="K44" s="215">
        <f>'IS 2024'!F17</f>
        <v>330030</v>
      </c>
      <c r="L44" s="215">
        <f>'IS 2024'!G17</f>
        <v>430451</v>
      </c>
      <c r="M44" s="215">
        <f>'IS 2024'!H17</f>
        <v>361850</v>
      </c>
      <c r="N44" s="215">
        <f>'IS 2024'!I17</f>
        <v>451050</v>
      </c>
      <c r="O44" s="215">
        <f>'IS 2024'!J17</f>
        <v>366785</v>
      </c>
      <c r="P44" s="215">
        <f>'IS 2024'!K17</f>
        <v>392080</v>
      </c>
      <c r="Q44" s="215">
        <f>'IS 2024'!L17</f>
        <v>371015</v>
      </c>
      <c r="R44" s="215">
        <f>'IS 2024'!M17</f>
        <v>390505</v>
      </c>
      <c r="S44" s="215">
        <f>'IS 2024'!N17</f>
        <v>397210</v>
      </c>
      <c r="T44" s="215">
        <f>'IS 2024'!O17</f>
        <v>441485</v>
      </c>
      <c r="U44" s="215">
        <f>'IS 2024'!P17</f>
        <v>448480</v>
      </c>
      <c r="V44" s="215">
        <f>'IS 2024'!Q17</f>
        <v>449900</v>
      </c>
    </row>
    <row r="45" spans="2:22" x14ac:dyDescent="0.3">
      <c r="B45" t="s">
        <v>28</v>
      </c>
      <c r="E45" s="211">
        <f t="shared" si="1"/>
        <v>3.166250445950767E-3</v>
      </c>
      <c r="F45" s="10">
        <f>'Statements Summary 2025'!V46</f>
        <v>5.7256851136311708E-3</v>
      </c>
      <c r="G45" s="10">
        <f>'Statements Summary 2026'!V46</f>
        <v>5.1468251446005212E-2</v>
      </c>
      <c r="H45" s="10">
        <f>'Statements Summary 2027'!V46</f>
        <v>7.9777534646243622E-3</v>
      </c>
      <c r="I45" s="10">
        <f>'Statements Summary 2028'!V46</f>
        <v>7.9268869731369106E-3</v>
      </c>
      <c r="K45" s="10"/>
      <c r="L45" s="10">
        <f t="shared" ref="L45" si="2">(L44-K44)/K44</f>
        <v>0.30427839893343028</v>
      </c>
      <c r="M45" s="10">
        <f>(M44-L44)/L44</f>
        <v>-0.15937005605748389</v>
      </c>
      <c r="N45" s="10">
        <f>(N44-M44)/M44</f>
        <v>0.24651098521486803</v>
      </c>
      <c r="O45" s="10">
        <f t="shared" ref="O45:T45" si="3">(O44-N44)/N44</f>
        <v>-0.18681964305509366</v>
      </c>
      <c r="P45" s="10">
        <f t="shared" si="3"/>
        <v>6.8964107038183134E-2</v>
      </c>
      <c r="Q45" s="10">
        <f t="shared" si="3"/>
        <v>-5.3726280350948785E-2</v>
      </c>
      <c r="R45" s="10">
        <f t="shared" si="3"/>
        <v>5.2531568804495776E-2</v>
      </c>
      <c r="S45" s="10">
        <f t="shared" si="3"/>
        <v>1.7170074646931537E-2</v>
      </c>
      <c r="T45" s="10">
        <f t="shared" si="3"/>
        <v>0.11146496815286625</v>
      </c>
      <c r="U45" s="10">
        <f>(U44-T44)/T44</f>
        <v>1.5844252919125223E-2</v>
      </c>
      <c r="V45" s="10">
        <f t="shared" ref="V45" si="4">(V44-U44)/U44</f>
        <v>3.166250445950767E-3</v>
      </c>
    </row>
    <row r="46" spans="2:22" x14ac:dyDescent="0.3">
      <c r="B46" t="s">
        <v>3</v>
      </c>
      <c r="E46" s="211">
        <f t="shared" si="1"/>
        <v>-10390</v>
      </c>
      <c r="F46" s="211">
        <f>'Statements Summary 2025'!V47</f>
        <v>-10390</v>
      </c>
      <c r="G46" s="211">
        <f>'Statements Summary 2026'!V47</f>
        <v>8610</v>
      </c>
      <c r="H46" s="211">
        <f>'Statements Summary 2027'!V47</f>
        <v>-32544</v>
      </c>
      <c r="I46" s="211">
        <f>'Statements Summary 2028'!V47</f>
        <v>-38444</v>
      </c>
      <c r="K46" s="211">
        <f>'IS 2024'!F18</f>
        <v>-10390</v>
      </c>
      <c r="L46" s="211">
        <f>'IS 2024'!G18</f>
        <v>-10390</v>
      </c>
      <c r="M46" s="211">
        <f>'IS 2024'!H18</f>
        <v>-10390</v>
      </c>
      <c r="N46" s="211">
        <f>'IS 2024'!I18</f>
        <v>-10390</v>
      </c>
      <c r="O46" s="211">
        <f>'IS 2024'!J18</f>
        <v>-10390</v>
      </c>
      <c r="P46" s="211">
        <f>'IS 2024'!K18</f>
        <v>-10390</v>
      </c>
      <c r="Q46" s="211">
        <f>'IS 2024'!L18</f>
        <v>-10390</v>
      </c>
      <c r="R46" s="211">
        <f>'IS 2024'!M18</f>
        <v>-10390</v>
      </c>
      <c r="S46" s="211">
        <f>'IS 2024'!N18</f>
        <v>-10390</v>
      </c>
      <c r="T46" s="211">
        <f>'IS 2024'!O18</f>
        <v>-10390</v>
      </c>
      <c r="U46" s="211">
        <f>'IS 2024'!P18</f>
        <v>-10390</v>
      </c>
      <c r="V46" s="211">
        <f>'IS 2024'!Q18</f>
        <v>-10390</v>
      </c>
    </row>
    <row r="47" spans="2:22" x14ac:dyDescent="0.3">
      <c r="B47" t="s">
        <v>29</v>
      </c>
      <c r="E47" s="10">
        <f t="shared" si="1"/>
        <v>-2.3094020893531898E-2</v>
      </c>
      <c r="F47" s="10">
        <f>'Statements Summary 2025'!V48</f>
        <v>-1.772375977619944E-2</v>
      </c>
      <c r="G47" s="10">
        <f>'Statements Summary 2026'!V48</f>
        <v>1.3011742304030467E-2</v>
      </c>
      <c r="H47" s="10">
        <f>'Statements Summary 2027'!V48</f>
        <v>-3.2707702048754013E-2</v>
      </c>
      <c r="I47" s="10">
        <f>'Statements Summary 2028'!V48</f>
        <v>-3.4376872244726416E-2</v>
      </c>
      <c r="K47" s="10">
        <f>K46/K44</f>
        <v>-3.1481986486077022E-2</v>
      </c>
      <c r="L47" s="10">
        <f t="shared" ref="L47:V47" si="5">L46/L44</f>
        <v>-2.413747441636795E-2</v>
      </c>
      <c r="M47" s="10">
        <f t="shared" si="5"/>
        <v>-2.871355534061075E-2</v>
      </c>
      <c r="N47" s="10">
        <f t="shared" si="5"/>
        <v>-2.3035140228356059E-2</v>
      </c>
      <c r="O47" s="10">
        <f t="shared" si="5"/>
        <v>-2.832722166937034E-2</v>
      </c>
      <c r="P47" s="10">
        <f t="shared" si="5"/>
        <v>-2.6499693940012243E-2</v>
      </c>
      <c r="Q47" s="10">
        <f t="shared" si="5"/>
        <v>-2.8004258587927711E-2</v>
      </c>
      <c r="R47" s="10">
        <f t="shared" si="5"/>
        <v>-2.66065735393913E-2</v>
      </c>
      <c r="S47" s="10">
        <f t="shared" si="5"/>
        <v>-2.6157448201203394E-2</v>
      </c>
      <c r="T47" s="10">
        <f t="shared" si="5"/>
        <v>-2.3534208410251764E-2</v>
      </c>
      <c r="U47" s="10">
        <f t="shared" si="5"/>
        <v>-2.3167142347484838E-2</v>
      </c>
      <c r="V47" s="10">
        <f t="shared" si="5"/>
        <v>-2.3094020893531898E-2</v>
      </c>
    </row>
    <row r="48" spans="2:22" x14ac:dyDescent="0.3">
      <c r="B48" t="s">
        <v>4</v>
      </c>
      <c r="E48" s="211">
        <f t="shared" si="1"/>
        <v>439510</v>
      </c>
      <c r="F48" s="211">
        <f>'Statements Summary 2025'!V49</f>
        <v>575828.73300000001</v>
      </c>
      <c r="G48" s="211">
        <f>'Statements Summary 2026'!V49</f>
        <v>670320</v>
      </c>
      <c r="H48" s="211">
        <f>'Statements Summary 2027'!V49</f>
        <v>962451</v>
      </c>
      <c r="I48" s="211">
        <f>'Statements Summary 2028'!V49</f>
        <v>1079866</v>
      </c>
      <c r="K48" s="211">
        <f>'IS 2024'!F26</f>
        <v>319640</v>
      </c>
      <c r="L48" s="211">
        <f>'IS 2024'!G26</f>
        <v>420061</v>
      </c>
      <c r="M48" s="211">
        <f>'IS 2024'!H26</f>
        <v>351460</v>
      </c>
      <c r="N48" s="211">
        <f>'IS 2024'!I26</f>
        <v>440660</v>
      </c>
      <c r="O48" s="211">
        <f>'IS 2024'!J26</f>
        <v>356395</v>
      </c>
      <c r="P48" s="211">
        <f>'IS 2024'!K26</f>
        <v>381690</v>
      </c>
      <c r="Q48" s="211">
        <f>'IS 2024'!L26</f>
        <v>360625</v>
      </c>
      <c r="R48" s="211">
        <f>'IS 2024'!M26</f>
        <v>380115</v>
      </c>
      <c r="S48" s="211">
        <f>'IS 2024'!N26</f>
        <v>386820</v>
      </c>
      <c r="T48" s="211">
        <f>'IS 2024'!O26</f>
        <v>431095</v>
      </c>
      <c r="U48" s="211">
        <f>'IS 2024'!P26</f>
        <v>438090</v>
      </c>
      <c r="V48" s="211">
        <f>'IS 2024'!Q26</f>
        <v>439510</v>
      </c>
    </row>
    <row r="49" spans="2:22" x14ac:dyDescent="0.3">
      <c r="B49" t="s">
        <v>30</v>
      </c>
      <c r="E49" s="10">
        <f t="shared" si="1"/>
        <v>0.97690597910646815</v>
      </c>
      <c r="F49" s="10">
        <f>'Statements Summary 2025'!V50</f>
        <v>0.98227624022380056</v>
      </c>
      <c r="G49" s="10">
        <f>'Statements Summary 2026'!V50</f>
        <v>1.0130117423040306</v>
      </c>
      <c r="H49" s="10">
        <f>'Statements Summary 2027'!V50</f>
        <v>0.96729229795124594</v>
      </c>
      <c r="I49" s="10">
        <f>'Statements Summary 2028'!V50</f>
        <v>0.96562312775527359</v>
      </c>
      <c r="K49" s="10">
        <f>K48/K44</f>
        <v>0.96851801351392297</v>
      </c>
      <c r="L49" s="10">
        <f t="shared" ref="L49:V49" si="6">L48/L44</f>
        <v>0.97586252558363207</v>
      </c>
      <c r="M49" s="10">
        <f t="shared" si="6"/>
        <v>0.97128644465938929</v>
      </c>
      <c r="N49" s="10">
        <f t="shared" si="6"/>
        <v>0.97696485977164393</v>
      </c>
      <c r="O49" s="10">
        <f t="shared" si="6"/>
        <v>0.97167277833062971</v>
      </c>
      <c r="P49" s="10">
        <f t="shared" si="6"/>
        <v>0.97350030605998772</v>
      </c>
      <c r="Q49" s="10">
        <f t="shared" si="6"/>
        <v>0.97199574141207223</v>
      </c>
      <c r="R49" s="10">
        <f t="shared" si="6"/>
        <v>0.97339342646060867</v>
      </c>
      <c r="S49" s="10">
        <f t="shared" si="6"/>
        <v>0.97384255179879664</v>
      </c>
      <c r="T49" s="10">
        <f t="shared" si="6"/>
        <v>0.97646579158974822</v>
      </c>
      <c r="U49" s="10">
        <f t="shared" si="6"/>
        <v>0.97683285765251515</v>
      </c>
      <c r="V49" s="10">
        <f t="shared" si="6"/>
        <v>0.97690597910646815</v>
      </c>
    </row>
    <row r="50" spans="2:22" x14ac:dyDescent="0.3">
      <c r="B50" t="s">
        <v>6</v>
      </c>
      <c r="E50" s="211">
        <f t="shared" si="1"/>
        <v>-2285</v>
      </c>
      <c r="F50" s="211">
        <f>'Statements Summary 2025'!V51</f>
        <v>-2285</v>
      </c>
      <c r="G50" s="211">
        <f>'Statements Summary 2026'!V51</f>
        <v>-2285</v>
      </c>
      <c r="H50" s="211">
        <f>'Statements Summary 2027'!V51</f>
        <v>-17479</v>
      </c>
      <c r="I50" s="211">
        <f>'Statements Summary 2028'!V51</f>
        <v>-17479</v>
      </c>
      <c r="K50" s="211">
        <f>'IS 2024'!F38</f>
        <v>-2285</v>
      </c>
      <c r="L50" s="211">
        <f>'IS 2024'!G38</f>
        <v>-2285</v>
      </c>
      <c r="M50" s="211">
        <f>'IS 2024'!H38</f>
        <v>-2285</v>
      </c>
      <c r="N50" s="211">
        <f>'IS 2024'!I38</f>
        <v>-2285</v>
      </c>
      <c r="O50" s="211">
        <f>'IS 2024'!J38</f>
        <v>-2285</v>
      </c>
      <c r="P50" s="211">
        <f>'IS 2024'!K38</f>
        <v>-2285</v>
      </c>
      <c r="Q50" s="211">
        <f>'IS 2024'!L38</f>
        <v>-2285</v>
      </c>
      <c r="R50" s="211">
        <f>'IS 2024'!M38</f>
        <v>-2285</v>
      </c>
      <c r="S50" s="211">
        <f>'IS 2024'!N38</f>
        <v>-2285</v>
      </c>
      <c r="T50" s="211">
        <f>'IS 2024'!O38</f>
        <v>-2285</v>
      </c>
      <c r="U50" s="211">
        <f>'IS 2024'!P38</f>
        <v>-2285</v>
      </c>
      <c r="V50" s="211">
        <f>'IS 2024'!Q38</f>
        <v>-2285</v>
      </c>
    </row>
    <row r="51" spans="2:22" x14ac:dyDescent="0.3">
      <c r="B51" t="s">
        <v>29</v>
      </c>
      <c r="E51" s="10">
        <f t="shared" si="1"/>
        <v>-5.0789064236496997E-3</v>
      </c>
      <c r="F51" s="10">
        <f>'Statements Summary 2025'!V52</f>
        <v>-3.8978624724365471E-3</v>
      </c>
      <c r="G51" s="10">
        <f>'Statements Summary 2026'!V52</f>
        <v>-3.4531743513019296E-3</v>
      </c>
      <c r="H51" s="10">
        <f>'Statements Summary 2027'!V52</f>
        <v>-1.7566922446846468E-2</v>
      </c>
      <c r="I51" s="10">
        <f>'Statements Summary 2028'!V52</f>
        <v>-1.5629834303547318E-2</v>
      </c>
      <c r="K51" s="10">
        <f>K50/K44</f>
        <v>-6.9236130048783446E-3</v>
      </c>
      <c r="L51" s="10">
        <f t="shared" ref="L51:V51" si="7">L50/L44</f>
        <v>-5.3083858557652326E-3</v>
      </c>
      <c r="M51" s="10">
        <f t="shared" si="7"/>
        <v>-6.3147713140804199E-3</v>
      </c>
      <c r="N51" s="10">
        <f t="shared" si="7"/>
        <v>-5.065957210952223E-3</v>
      </c>
      <c r="O51" s="10">
        <f t="shared" si="7"/>
        <v>-6.2298076529847188E-3</v>
      </c>
      <c r="P51" s="10">
        <f t="shared" si="7"/>
        <v>-5.8278922668843092E-3</v>
      </c>
      <c r="Q51" s="10">
        <f t="shared" si="7"/>
        <v>-6.158780642292091E-3</v>
      </c>
      <c r="R51" s="10">
        <f t="shared" si="7"/>
        <v>-5.8513975493271536E-3</v>
      </c>
      <c r="S51" s="10">
        <f t="shared" si="7"/>
        <v>-5.7526245562800537E-3</v>
      </c>
      <c r="T51" s="10">
        <f t="shared" si="7"/>
        <v>-5.1757137841602768E-3</v>
      </c>
      <c r="U51" s="10">
        <f t="shared" si="7"/>
        <v>-5.0949875133785233E-3</v>
      </c>
      <c r="V51" s="10">
        <f t="shared" si="7"/>
        <v>-5.0789064236496997E-3</v>
      </c>
    </row>
    <row r="52" spans="2:22" x14ac:dyDescent="0.3">
      <c r="B52" t="s">
        <v>196</v>
      </c>
      <c r="E52" s="211">
        <f t="shared" si="1"/>
        <v>-4063</v>
      </c>
      <c r="F52" s="211">
        <f>'Statements Summary 2025'!V53</f>
        <v>-4063</v>
      </c>
      <c r="G52" s="211">
        <f>'Statements Summary 2026'!V53</f>
        <v>-45063</v>
      </c>
      <c r="H52" s="211">
        <f>'Statements Summary 2027'!V53</f>
        <v>-45063</v>
      </c>
      <c r="I52" s="211">
        <f>'Statements Summary 2028'!V53</f>
        <v>-45063</v>
      </c>
      <c r="K52" s="211">
        <f>'IS 2024'!F39</f>
        <v>-4063</v>
      </c>
      <c r="L52" s="211">
        <f>'IS 2024'!G39</f>
        <v>-4063</v>
      </c>
      <c r="M52" s="211">
        <f>'IS 2024'!H39</f>
        <v>-4063</v>
      </c>
      <c r="N52" s="211">
        <f>'IS 2024'!I39</f>
        <v>-4063</v>
      </c>
      <c r="O52" s="211">
        <f>'IS 2024'!J39</f>
        <v>-4063</v>
      </c>
      <c r="P52" s="211">
        <f>'IS 2024'!K39</f>
        <v>-4063</v>
      </c>
      <c r="Q52" s="211">
        <f>'IS 2024'!L39</f>
        <v>-4063</v>
      </c>
      <c r="R52" s="211">
        <f>'IS 2024'!M39</f>
        <v>-4063</v>
      </c>
      <c r="S52" s="211">
        <f>'IS 2024'!N39</f>
        <v>-4063</v>
      </c>
      <c r="T52" s="211">
        <f>'IS 2024'!O39</f>
        <v>-4063</v>
      </c>
      <c r="U52" s="211">
        <f>'IS 2024'!P39</f>
        <v>-4063</v>
      </c>
      <c r="V52" s="211">
        <f>'IS 2024'!Q39</f>
        <v>-4063</v>
      </c>
    </row>
    <row r="53" spans="2:22" x14ac:dyDescent="0.3">
      <c r="B53" t="s">
        <v>29</v>
      </c>
      <c r="E53" s="10">
        <f t="shared" si="1"/>
        <v>-9.0308957546121355E-3</v>
      </c>
      <c r="F53" s="10">
        <f>'Statements Summary 2025'!V54</f>
        <v>-6.9308600549276541E-3</v>
      </c>
      <c r="G53" s="10">
        <f>'Statements Summary 2026'!V54</f>
        <v>-6.8100829668585938E-2</v>
      </c>
      <c r="H53" s="10">
        <f>'Statements Summary 2027'!V54</f>
        <v>-4.5289674822486546E-2</v>
      </c>
      <c r="I53" s="10">
        <f>'Statements Summary 2028'!V54</f>
        <v>-4.0295624647906217E-2</v>
      </c>
      <c r="K53" s="10">
        <f>K52/K44</f>
        <v>-1.2311002030118473E-2</v>
      </c>
      <c r="L53" s="10">
        <f t="shared" ref="L53:V53" si="8">L52/L44</f>
        <v>-9.4389373006451369E-3</v>
      </c>
      <c r="M53" s="10">
        <f t="shared" si="8"/>
        <v>-1.1228409561973194E-2</v>
      </c>
      <c r="N53" s="10">
        <f t="shared" si="8"/>
        <v>-9.0078705243321136E-3</v>
      </c>
      <c r="O53" s="10">
        <f t="shared" si="8"/>
        <v>-1.1077334133075234E-2</v>
      </c>
      <c r="P53" s="10">
        <f t="shared" si="8"/>
        <v>-1.0362681085492757E-2</v>
      </c>
      <c r="Q53" s="10">
        <f t="shared" si="8"/>
        <v>-1.0951039715375388E-2</v>
      </c>
      <c r="R53" s="10">
        <f t="shared" si="8"/>
        <v>-1.0404476255105568E-2</v>
      </c>
      <c r="S53" s="10">
        <f t="shared" si="8"/>
        <v>-1.0228846202260769E-2</v>
      </c>
      <c r="T53" s="10">
        <f t="shared" si="8"/>
        <v>-9.2030306805440734E-3</v>
      </c>
      <c r="U53" s="10">
        <f t="shared" si="8"/>
        <v>-9.0594898323225117E-3</v>
      </c>
      <c r="V53" s="10">
        <f t="shared" si="8"/>
        <v>-9.0308957546121355E-3</v>
      </c>
    </row>
    <row r="54" spans="2:22" x14ac:dyDescent="0.3">
      <c r="B54" t="s">
        <v>31</v>
      </c>
      <c r="E54" s="211">
        <f t="shared" si="1"/>
        <v>-8250</v>
      </c>
      <c r="F54" s="211">
        <f>'Statements Summary 2025'!V55</f>
        <v>-8250</v>
      </c>
      <c r="G54" s="211">
        <f>'Statements Summary 2026'!V55</f>
        <v>-8250</v>
      </c>
      <c r="H54" s="211">
        <f>'Statements Summary 2027'!V55</f>
        <v>-8250</v>
      </c>
      <c r="I54" s="211">
        <f>'Statements Summary 2028'!V55</f>
        <v>-8250</v>
      </c>
      <c r="K54" s="211">
        <f>'IS 2024'!F58</f>
        <v>-8250</v>
      </c>
      <c r="L54" s="211">
        <f>'IS 2024'!G58</f>
        <v>-8250</v>
      </c>
      <c r="M54" s="211">
        <f>'IS 2024'!H58</f>
        <v>-8250</v>
      </c>
      <c r="N54" s="211">
        <f>'IS 2024'!I58</f>
        <v>-8250</v>
      </c>
      <c r="O54" s="211">
        <f>'IS 2024'!J58</f>
        <v>-8250</v>
      </c>
      <c r="P54" s="211">
        <f>'IS 2024'!K58</f>
        <v>-8250</v>
      </c>
      <c r="Q54" s="211">
        <f>'IS 2024'!L58</f>
        <v>-8250</v>
      </c>
      <c r="R54" s="211">
        <f>'IS 2024'!M58</f>
        <v>-8250</v>
      </c>
      <c r="S54" s="211">
        <f>'IS 2024'!N58</f>
        <v>-8250</v>
      </c>
      <c r="T54" s="211">
        <f>'IS 2024'!O58</f>
        <v>-8250</v>
      </c>
      <c r="U54" s="211">
        <f>'IS 2024'!P58</f>
        <v>-8250</v>
      </c>
      <c r="V54" s="211">
        <f>'IS 2024'!Q58</f>
        <v>-8250</v>
      </c>
    </row>
    <row r="55" spans="2:22" x14ac:dyDescent="0.3">
      <c r="B55" t="s">
        <v>29</v>
      </c>
      <c r="E55" s="10">
        <f t="shared" si="1"/>
        <v>-1.8337408312958436E-2</v>
      </c>
      <c r="F55" s="10">
        <f>'Statements Summary 2025'!V56</f>
        <v>-1.4073245250591471E-2</v>
      </c>
      <c r="G55" s="10">
        <f>'Statements Summary 2026'!V56</f>
        <v>-1.2467697329645918E-2</v>
      </c>
      <c r="H55" s="10">
        <f>'Statements Summary 2027'!V56</f>
        <v>-8.291498952256041E-3</v>
      </c>
      <c r="I55" s="10">
        <f>'Statements Summary 2028'!V56</f>
        <v>-7.3772031011079221E-3</v>
      </c>
      <c r="K55" s="10">
        <f>K54/K44</f>
        <v>-2.499772747932006E-2</v>
      </c>
      <c r="L55" s="10">
        <f t="shared" ref="L55:V55" si="9">L54/L44</f>
        <v>-1.916594455582633E-2</v>
      </c>
      <c r="M55" s="10">
        <f t="shared" si="9"/>
        <v>-2.2799502556307864E-2</v>
      </c>
      <c r="N55" s="10">
        <f t="shared" si="9"/>
        <v>-1.8290655138011307E-2</v>
      </c>
      <c r="O55" s="10">
        <f t="shared" si="9"/>
        <v>-2.249274097904767E-2</v>
      </c>
      <c r="P55" s="10">
        <f t="shared" si="9"/>
        <v>-2.1041624158335034E-2</v>
      </c>
      <c r="Q55" s="10">
        <f t="shared" si="9"/>
        <v>-2.2236297723811707E-2</v>
      </c>
      <c r="R55" s="10">
        <f t="shared" si="9"/>
        <v>-2.112649005774574E-2</v>
      </c>
      <c r="S55" s="10">
        <f t="shared" si="9"/>
        <v>-2.0769869842148989E-2</v>
      </c>
      <c r="T55" s="10">
        <f t="shared" si="9"/>
        <v>-1.8686931605830324E-2</v>
      </c>
      <c r="U55" s="10">
        <f t="shared" si="9"/>
        <v>-1.839546914020692E-2</v>
      </c>
      <c r="V55" s="10">
        <f t="shared" si="9"/>
        <v>-1.8337408312958436E-2</v>
      </c>
    </row>
    <row r="56" spans="2:22" x14ac:dyDescent="0.3">
      <c r="B56" s="23" t="s">
        <v>10</v>
      </c>
      <c r="C56" s="23"/>
      <c r="D56" s="23"/>
      <c r="E56" s="215">
        <f t="shared" si="1"/>
        <v>428975</v>
      </c>
      <c r="F56" s="215">
        <f>'Statements Summary 2025'!V57</f>
        <v>565293.73300000001</v>
      </c>
      <c r="G56" s="215">
        <f>'Statements Summary 2026'!V57</f>
        <v>659785</v>
      </c>
      <c r="H56" s="215">
        <f>'Statements Summary 2027'!V57</f>
        <v>936722</v>
      </c>
      <c r="I56" s="215">
        <f>'Statements Summary 2028'!V57</f>
        <v>1054137</v>
      </c>
      <c r="K56" s="215">
        <f>'IS 2024'!F59</f>
        <v>309105</v>
      </c>
      <c r="L56" s="215">
        <f>'IS 2024'!G59</f>
        <v>409526</v>
      </c>
      <c r="M56" s="215">
        <f>'IS 2024'!H59</f>
        <v>340925</v>
      </c>
      <c r="N56" s="215">
        <f>'IS 2024'!I59</f>
        <v>430125</v>
      </c>
      <c r="O56" s="215">
        <f>'IS 2024'!J59</f>
        <v>345860</v>
      </c>
      <c r="P56" s="215">
        <f>'IS 2024'!K59</f>
        <v>371155</v>
      </c>
      <c r="Q56" s="215">
        <f>'IS 2024'!L59</f>
        <v>350090</v>
      </c>
      <c r="R56" s="215">
        <f>'IS 2024'!M59</f>
        <v>369580</v>
      </c>
      <c r="S56" s="215">
        <f>'IS 2024'!N59</f>
        <v>376285</v>
      </c>
      <c r="T56" s="215">
        <f>'IS 2024'!O59</f>
        <v>420560</v>
      </c>
      <c r="U56" s="215">
        <f>'IS 2024'!P59</f>
        <v>427555</v>
      </c>
      <c r="V56" s="215">
        <f>'IS 2024'!Q59</f>
        <v>428975</v>
      </c>
    </row>
    <row r="57" spans="2:22" x14ac:dyDescent="0.3">
      <c r="B57" t="s">
        <v>22</v>
      </c>
      <c r="E57" s="10">
        <f t="shared" si="1"/>
        <v>0.95348966436985994</v>
      </c>
      <c r="F57" s="10">
        <f>'Statements Summary 2025'!V58</f>
        <v>0.96430513250077254</v>
      </c>
      <c r="G57" s="10">
        <f>'Statements Summary 2026'!V58</f>
        <v>0.99709087062308266</v>
      </c>
      <c r="H57" s="10">
        <f>'Statements Summary 2027'!V58</f>
        <v>0.9414338765521435</v>
      </c>
      <c r="I57" s="10">
        <f>'Statements Summary 2028'!V58</f>
        <v>0.94261609035061833</v>
      </c>
      <c r="K57" s="10">
        <f>K56/K44</f>
        <v>0.9365966730297246</v>
      </c>
      <c r="L57" s="10">
        <f t="shared" ref="L57:V57" si="10">L56/L44</f>
        <v>0.95138819517204054</v>
      </c>
      <c r="M57" s="10">
        <f t="shared" si="10"/>
        <v>0.94217217078900095</v>
      </c>
      <c r="N57" s="10">
        <f t="shared" si="10"/>
        <v>0.95360824742268047</v>
      </c>
      <c r="O57" s="10">
        <f t="shared" si="10"/>
        <v>0.94295022969859732</v>
      </c>
      <c r="P57" s="10">
        <f t="shared" si="10"/>
        <v>0.94663078963476843</v>
      </c>
      <c r="Q57" s="10">
        <f t="shared" si="10"/>
        <v>0.94360066304596846</v>
      </c>
      <c r="R57" s="10">
        <f t="shared" si="10"/>
        <v>0.9464155388535358</v>
      </c>
      <c r="S57" s="10">
        <f t="shared" si="10"/>
        <v>0.94732005740036751</v>
      </c>
      <c r="T57" s="10">
        <f t="shared" si="10"/>
        <v>0.95260314619975761</v>
      </c>
      <c r="U57" s="10">
        <f t="shared" si="10"/>
        <v>0.95334240099892975</v>
      </c>
      <c r="V57" s="10">
        <f t="shared" si="10"/>
        <v>0.95348966436985994</v>
      </c>
    </row>
    <row r="58" spans="2:22" x14ac:dyDescent="0.3">
      <c r="B58" t="s">
        <v>11</v>
      </c>
      <c r="E58" s="211">
        <f t="shared" si="1"/>
        <v>-1711</v>
      </c>
      <c r="F58" s="211">
        <f>'Statements Summary 2025'!V59</f>
        <v>-1850</v>
      </c>
      <c r="G58" s="211">
        <f>'Statements Summary 2026'!V59</f>
        <v>-1911</v>
      </c>
      <c r="H58" s="211">
        <f>'Statements Summary 2027'!V59</f>
        <v>-1756</v>
      </c>
      <c r="I58" s="211">
        <f>'Statements Summary 2028'!V59</f>
        <v>-1800</v>
      </c>
      <c r="K58" s="9">
        <f>'IS 2024'!F60</f>
        <v>-1711</v>
      </c>
      <c r="L58" s="9">
        <f>'IS 2024'!G60</f>
        <v>-1711</v>
      </c>
      <c r="M58" s="9">
        <f>'IS 2024'!H60</f>
        <v>-1711</v>
      </c>
      <c r="N58" s="9">
        <f>'IS 2024'!I60</f>
        <v>-1711</v>
      </c>
      <c r="O58" s="9">
        <f>'IS 2024'!J60</f>
        <v>-1711</v>
      </c>
      <c r="P58" s="9">
        <f>'IS 2024'!K60</f>
        <v>-1711</v>
      </c>
      <c r="Q58" s="9">
        <f>'IS 2024'!L60</f>
        <v>-1711</v>
      </c>
      <c r="R58" s="9">
        <f>'IS 2024'!M60</f>
        <v>-1711</v>
      </c>
      <c r="S58" s="9">
        <f>'IS 2024'!N60</f>
        <v>-1711</v>
      </c>
      <c r="T58" s="9">
        <f>'IS 2024'!O60</f>
        <v>-1711</v>
      </c>
      <c r="U58" s="9">
        <f>'IS 2024'!P60</f>
        <v>-1711</v>
      </c>
      <c r="V58" s="9">
        <f>'IS 2024'!Q60</f>
        <v>-1711</v>
      </c>
    </row>
    <row r="59" spans="2:22" x14ac:dyDescent="0.3">
      <c r="B59" t="s">
        <v>12</v>
      </c>
      <c r="E59" s="211">
        <f t="shared" si="1"/>
        <v>427264</v>
      </c>
      <c r="F59" s="211">
        <f>'Statements Summary 2025'!V60</f>
        <v>563443.73300000001</v>
      </c>
      <c r="G59" s="211">
        <f>'Statements Summary 2026'!V60</f>
        <v>661696</v>
      </c>
      <c r="H59" s="211">
        <f>'Statements Summary 2027'!V60</f>
        <v>934966</v>
      </c>
      <c r="I59" s="211">
        <f>'Statements Summary 2028'!V60</f>
        <v>1052337</v>
      </c>
      <c r="K59" s="211">
        <f>'IS 2024'!F61</f>
        <v>307394</v>
      </c>
      <c r="L59" s="211">
        <f>'IS 2024'!G61</f>
        <v>407815</v>
      </c>
      <c r="M59" s="211">
        <f>'IS 2024'!H61</f>
        <v>339214</v>
      </c>
      <c r="N59" s="211">
        <f>'IS 2024'!I61</f>
        <v>428414</v>
      </c>
      <c r="O59" s="211">
        <f>'IS 2024'!J61</f>
        <v>344149</v>
      </c>
      <c r="P59" s="211">
        <f>'IS 2024'!K61</f>
        <v>369444</v>
      </c>
      <c r="Q59" s="211">
        <f>'IS 2024'!L61</f>
        <v>348379</v>
      </c>
      <c r="R59" s="211">
        <f>'IS 2024'!M61</f>
        <v>367869</v>
      </c>
      <c r="S59" s="211">
        <f>'IS 2024'!N61</f>
        <v>374574</v>
      </c>
      <c r="T59" s="211">
        <f>'IS 2024'!O61</f>
        <v>418849</v>
      </c>
      <c r="U59" s="211">
        <f>'IS 2024'!P61</f>
        <v>425844</v>
      </c>
      <c r="V59" s="211">
        <f>'IS 2024'!Q61</f>
        <v>427264</v>
      </c>
    </row>
    <row r="60" spans="2:22" x14ac:dyDescent="0.3">
      <c r="B60" t="s">
        <v>13</v>
      </c>
      <c r="E60" s="211">
        <f t="shared" si="1"/>
        <v>-73000.400000000009</v>
      </c>
      <c r="F60" s="211">
        <f>'Statements Summary 2025'!V61</f>
        <v>-32637.200000000001</v>
      </c>
      <c r="G60" s="211">
        <f>'Statements Summary 2026'!V61</f>
        <v>0</v>
      </c>
      <c r="H60" s="211">
        <f>'Statements Summary 2027'!V61</f>
        <v>0</v>
      </c>
      <c r="I60" s="211">
        <f>'Statements Summary 2028'!V61</f>
        <v>0</v>
      </c>
      <c r="K60" s="221">
        <f>'IS 2024'!F62</f>
        <v>-110000</v>
      </c>
      <c r="L60" s="221">
        <f>'IS 2024'!G62</f>
        <v>-106636.40000000001</v>
      </c>
      <c r="M60" s="221">
        <f>'IS 2024'!H62</f>
        <v>-103272.8</v>
      </c>
      <c r="N60" s="221">
        <f>'IS 2024'!I62</f>
        <v>-99909.200000000012</v>
      </c>
      <c r="O60" s="221">
        <f>'IS 2024'!J62</f>
        <v>-96545.600000000006</v>
      </c>
      <c r="P60" s="221">
        <f>'IS 2024'!K62</f>
        <v>-93182</v>
      </c>
      <c r="Q60" s="221">
        <f>'IS 2024'!L62</f>
        <v>-89818.400000000009</v>
      </c>
      <c r="R60" s="221">
        <f>'IS 2024'!M62</f>
        <v>-86454.8</v>
      </c>
      <c r="S60" s="221">
        <f>'IS 2024'!N62</f>
        <v>-83091.200000000012</v>
      </c>
      <c r="T60" s="221">
        <f>'IS 2024'!O62</f>
        <v>-79727.600000000006</v>
      </c>
      <c r="U60" s="221">
        <f>'IS 2024'!P62</f>
        <v>-76364</v>
      </c>
      <c r="V60" s="221">
        <f>'IS 2024'!Q62</f>
        <v>-73000.400000000009</v>
      </c>
    </row>
    <row r="61" spans="2:22" x14ac:dyDescent="0.3">
      <c r="B61" t="s">
        <v>14</v>
      </c>
      <c r="E61" s="211">
        <f t="shared" si="1"/>
        <v>428975</v>
      </c>
      <c r="F61" s="211">
        <f>'Statements Summary 2025'!V62</f>
        <v>565293.73300000001</v>
      </c>
      <c r="G61" s="211">
        <f>'Statements Summary 2026'!V62</f>
        <v>659785</v>
      </c>
      <c r="H61" s="211">
        <f>'Statements Summary 2027'!V62</f>
        <v>936722</v>
      </c>
      <c r="I61" s="211">
        <f>'Statements Summary 2028'!V62</f>
        <v>1054137</v>
      </c>
      <c r="K61" s="211">
        <f>'IS 2024'!F63</f>
        <v>309105</v>
      </c>
      <c r="L61" s="211">
        <f>'IS 2024'!G63</f>
        <v>409526</v>
      </c>
      <c r="M61" s="211">
        <f>'IS 2024'!H63</f>
        <v>340925</v>
      </c>
      <c r="N61" s="211">
        <f>'IS 2024'!I63</f>
        <v>430125</v>
      </c>
      <c r="O61" s="211">
        <f>'IS 2024'!J63</f>
        <v>345860</v>
      </c>
      <c r="P61" s="211">
        <f>'IS 2024'!K63</f>
        <v>371155</v>
      </c>
      <c r="Q61" s="211">
        <f>'IS 2024'!L63</f>
        <v>350090</v>
      </c>
      <c r="R61" s="211">
        <f>'IS 2024'!M63</f>
        <v>369580</v>
      </c>
      <c r="S61" s="211">
        <f>'IS 2024'!N63</f>
        <v>376285</v>
      </c>
      <c r="T61" s="211">
        <f>'IS 2024'!O63</f>
        <v>420560</v>
      </c>
      <c r="U61" s="211">
        <f>'IS 2024'!P63</f>
        <v>427555</v>
      </c>
      <c r="V61" s="211">
        <f>'IS 2024'!Q63</f>
        <v>428975</v>
      </c>
    </row>
    <row r="62" spans="2:22" x14ac:dyDescent="0.3">
      <c r="B62" t="s">
        <v>15</v>
      </c>
      <c r="E62" s="211">
        <f t="shared" si="1"/>
        <v>-85795</v>
      </c>
      <c r="F62" s="211">
        <f>'Statements Summary 2025'!V63</f>
        <v>-113058.74660000001</v>
      </c>
      <c r="G62" s="211">
        <f>'Statements Summary 2026'!V63</f>
        <v>-131957</v>
      </c>
      <c r="H62" s="211">
        <f>'Statements Summary 2027'!V63</f>
        <v>-187344.40000000002</v>
      </c>
      <c r="I62" s="211">
        <f>'Statements Summary 2028'!V63</f>
        <v>-187344.40000000002</v>
      </c>
      <c r="K62" s="211">
        <f>'IS 2024'!F64</f>
        <v>-61821</v>
      </c>
      <c r="L62" s="211">
        <f>'IS 2024'!G64</f>
        <v>-81905.200000000012</v>
      </c>
      <c r="M62" s="211">
        <f>'IS 2024'!H64</f>
        <v>-68185</v>
      </c>
      <c r="N62" s="211">
        <f>'IS 2024'!I64</f>
        <v>-86025</v>
      </c>
      <c r="O62" s="211">
        <f>'IS 2024'!J64</f>
        <v>-69172</v>
      </c>
      <c r="P62" s="211">
        <f>'IS 2024'!K64</f>
        <v>-74231</v>
      </c>
      <c r="Q62" s="211">
        <f>'IS 2024'!L64</f>
        <v>-70018</v>
      </c>
      <c r="R62" s="211">
        <f>'IS 2024'!M64</f>
        <v>-73916</v>
      </c>
      <c r="S62" s="211">
        <f>'IS 2024'!N64</f>
        <v>-75257</v>
      </c>
      <c r="T62" s="211">
        <f>'IS 2024'!O64</f>
        <v>-84112</v>
      </c>
      <c r="U62" s="211">
        <f>'IS 2024'!P64</f>
        <v>-85511</v>
      </c>
      <c r="V62" s="211">
        <f>'IS 2024'!Q64</f>
        <v>-85795</v>
      </c>
    </row>
    <row r="63" spans="2:22" x14ac:dyDescent="0.3">
      <c r="B63" s="23" t="s">
        <v>16</v>
      </c>
      <c r="C63" s="23"/>
      <c r="D63" s="23"/>
      <c r="E63" s="215">
        <f t="shared" si="1"/>
        <v>343180</v>
      </c>
      <c r="F63" s="215">
        <f>'Statements Summary 2025'!V64</f>
        <v>452234.98639999999</v>
      </c>
      <c r="G63" s="215">
        <f>'Statements Summary 2026'!V64</f>
        <v>527828</v>
      </c>
      <c r="H63" s="215">
        <f>'Statements Summary 2027'!V64</f>
        <v>749377.6</v>
      </c>
      <c r="I63" s="215">
        <f>'Statements Summary 2028'!V64</f>
        <v>843309.6</v>
      </c>
      <c r="K63" s="215">
        <f>'IS 2024'!F65</f>
        <v>247284</v>
      </c>
      <c r="L63" s="215">
        <f>'IS 2024'!G65</f>
        <v>327620.8</v>
      </c>
      <c r="M63" s="215">
        <f>'IS 2024'!H65</f>
        <v>272740</v>
      </c>
      <c r="N63" s="215">
        <f>'IS 2024'!I65</f>
        <v>344100</v>
      </c>
      <c r="O63" s="215">
        <f>'IS 2024'!J65</f>
        <v>276688</v>
      </c>
      <c r="P63" s="215">
        <f>'IS 2024'!K65</f>
        <v>296924</v>
      </c>
      <c r="Q63" s="215">
        <f>'IS 2024'!L65</f>
        <v>280072</v>
      </c>
      <c r="R63" s="215">
        <f>'IS 2024'!M65</f>
        <v>295664</v>
      </c>
      <c r="S63" s="215">
        <f>'IS 2024'!N65</f>
        <v>301028</v>
      </c>
      <c r="T63" s="215">
        <f>'IS 2024'!O65</f>
        <v>336448</v>
      </c>
      <c r="U63" s="215">
        <f>'IS 2024'!P65</f>
        <v>342044</v>
      </c>
      <c r="V63" s="215">
        <f>'IS 2024'!Q65</f>
        <v>343180</v>
      </c>
    </row>
    <row r="64" spans="2:22" x14ac:dyDescent="0.3">
      <c r="B64" t="s">
        <v>17</v>
      </c>
      <c r="E64" s="10">
        <f t="shared" si="1"/>
        <v>0.76279173149588797</v>
      </c>
      <c r="F64" s="10">
        <f>'Statements Summary 2025'!V65</f>
        <v>0.77144410600061797</v>
      </c>
      <c r="G64" s="10">
        <f>'Statements Summary 2026'!V65</f>
        <v>0.79767269649846606</v>
      </c>
      <c r="H64" s="10">
        <f>'Statements Summary 2027'!V65</f>
        <v>0.7531471012417148</v>
      </c>
      <c r="I64" s="10">
        <f>'Statements Summary 2028'!V65</f>
        <v>0.75409287228049471</v>
      </c>
      <c r="K64" s="10">
        <f>K63/K44</f>
        <v>0.74927733842377964</v>
      </c>
      <c r="L64" s="10">
        <f t="shared" ref="L64:V64" si="11">L63/L44</f>
        <v>0.76111055613763234</v>
      </c>
      <c r="M64" s="10">
        <f t="shared" si="11"/>
        <v>0.75373773663120081</v>
      </c>
      <c r="N64" s="10">
        <f t="shared" si="11"/>
        <v>0.76288659793814428</v>
      </c>
      <c r="O64" s="10">
        <f t="shared" si="11"/>
        <v>0.75436018375887781</v>
      </c>
      <c r="P64" s="10">
        <f t="shared" si="11"/>
        <v>0.7573046317078147</v>
      </c>
      <c r="Q64" s="10">
        <f t="shared" si="11"/>
        <v>0.75488053043677483</v>
      </c>
      <c r="R64" s="10">
        <f t="shared" si="11"/>
        <v>0.75713243108282868</v>
      </c>
      <c r="S64" s="10">
        <f t="shared" si="11"/>
        <v>0.7578560459202941</v>
      </c>
      <c r="T64" s="10">
        <f t="shared" si="11"/>
        <v>0.76208251695980611</v>
      </c>
      <c r="U64" s="10">
        <f t="shared" si="11"/>
        <v>0.76267392079914376</v>
      </c>
      <c r="V64" s="10">
        <f t="shared" si="11"/>
        <v>0.76279173149588797</v>
      </c>
    </row>
    <row r="66" spans="2:22" x14ac:dyDescent="0.3">
      <c r="B66" s="181" t="s">
        <v>331</v>
      </c>
      <c r="C66" s="154"/>
      <c r="D66" s="154"/>
      <c r="E66" s="154"/>
      <c r="F66" s="154"/>
      <c r="G66" s="154"/>
      <c r="H66" s="154"/>
      <c r="I66" s="154"/>
      <c r="K66" s="387" t="s">
        <v>202</v>
      </c>
      <c r="L66" s="387"/>
      <c r="M66" s="387"/>
      <c r="N66" s="387"/>
      <c r="O66" s="387"/>
      <c r="P66" s="387"/>
      <c r="Q66" s="387"/>
      <c r="R66" s="387"/>
      <c r="S66" s="387"/>
      <c r="T66" s="387"/>
      <c r="U66" s="387"/>
      <c r="V66" s="387"/>
    </row>
    <row r="83" spans="2:22" x14ac:dyDescent="0.3">
      <c r="B83" s="181" t="s">
        <v>333</v>
      </c>
      <c r="C83" s="181"/>
      <c r="D83" s="181"/>
      <c r="E83" s="181"/>
      <c r="F83" s="154"/>
      <c r="G83" s="154"/>
      <c r="H83" s="154"/>
      <c r="I83" s="154"/>
      <c r="J83" s="154"/>
      <c r="K83" s="387" t="s">
        <v>203</v>
      </c>
      <c r="L83" s="387"/>
      <c r="M83" s="387"/>
      <c r="N83" s="387"/>
      <c r="O83" s="387"/>
      <c r="P83" s="387"/>
      <c r="Q83" s="387"/>
      <c r="R83" s="387"/>
      <c r="S83" s="387"/>
      <c r="T83" s="387"/>
      <c r="U83" s="387"/>
      <c r="V83" s="387"/>
    </row>
    <row r="85" spans="2:22" x14ac:dyDescent="0.3">
      <c r="B85" s="199" t="s">
        <v>27</v>
      </c>
      <c r="C85" s="199"/>
      <c r="D85" s="199"/>
      <c r="E85" s="200">
        <v>2024</v>
      </c>
      <c r="F85" s="200">
        <v>2025</v>
      </c>
      <c r="G85" s="200">
        <v>2026</v>
      </c>
      <c r="H85" s="200">
        <v>2027</v>
      </c>
      <c r="I85" s="200">
        <v>2028</v>
      </c>
      <c r="J85" s="199"/>
      <c r="K85" s="200" t="s">
        <v>32</v>
      </c>
      <c r="L85" s="200" t="s">
        <v>33</v>
      </c>
      <c r="M85" s="200" t="s">
        <v>34</v>
      </c>
      <c r="N85" s="200" t="s">
        <v>35</v>
      </c>
      <c r="O85" s="200" t="s">
        <v>36</v>
      </c>
      <c r="P85" s="200" t="s">
        <v>37</v>
      </c>
      <c r="Q85" s="200" t="s">
        <v>38</v>
      </c>
      <c r="R85" s="200" t="s">
        <v>39</v>
      </c>
      <c r="S85" s="200" t="s">
        <v>40</v>
      </c>
      <c r="T85" s="200" t="s">
        <v>41</v>
      </c>
      <c r="U85" s="200" t="s">
        <v>42</v>
      </c>
      <c r="V85" s="200" t="s">
        <v>43</v>
      </c>
    </row>
    <row r="86" spans="2:22" x14ac:dyDescent="0.3">
      <c r="B86" t="s">
        <v>55</v>
      </c>
      <c r="E86" s="211">
        <f t="shared" ref="E86:E97" si="12">V86</f>
        <v>2624392.4</v>
      </c>
      <c r="F86" s="211">
        <f>'Statements Summary 2025'!V88</f>
        <v>7339792.1871999996</v>
      </c>
      <c r="G86" s="211">
        <f>'Statements Summary 2026'!V88</f>
        <v>13149988.987199999</v>
      </c>
      <c r="H86" s="211">
        <f>'Statements Summary 2027'!V88</f>
        <v>22338154.987199992</v>
      </c>
      <c r="I86" s="211">
        <f>'Statements Summary 2028'!V88</f>
        <v>32696764.987199977</v>
      </c>
      <c r="K86" s="211">
        <f>'BS 2024'!F14</f>
        <v>157584</v>
      </c>
      <c r="L86" s="211">
        <f>'BS 2024'!G14</f>
        <v>382050.39999999997</v>
      </c>
      <c r="M86" s="211">
        <f>'BS 2024'!H14</f>
        <v>554999.6</v>
      </c>
      <c r="N86" s="211">
        <f>'BS 2024'!I14</f>
        <v>802672.39999999991</v>
      </c>
      <c r="O86" s="211">
        <f>'BS 2024'!J14</f>
        <v>986296.79999999993</v>
      </c>
      <c r="P86" s="211">
        <f>'BS 2024'!K14</f>
        <v>1193520.7999999998</v>
      </c>
      <c r="Q86" s="211">
        <f>'BS 2024'!L14</f>
        <v>1387256.4</v>
      </c>
      <c r="R86" s="211">
        <f>'BS 2024'!M14</f>
        <v>1599947.5999999999</v>
      </c>
      <c r="S86" s="211">
        <f>'BS 2024'!N14</f>
        <v>1821366.4</v>
      </c>
      <c r="T86" s="211">
        <f>'BS 2024'!O14</f>
        <v>2081568.7999999998</v>
      </c>
      <c r="U86" s="211">
        <f>'BS 2024'!P14</f>
        <v>2350730.7999999998</v>
      </c>
      <c r="V86" s="211">
        <f>'BS 2024'!Q14</f>
        <v>2624392.4</v>
      </c>
    </row>
    <row r="87" spans="2:22" x14ac:dyDescent="0.3">
      <c r="B87" t="s">
        <v>56</v>
      </c>
      <c r="E87" s="211">
        <f t="shared" si="12"/>
        <v>470532</v>
      </c>
      <c r="F87" s="211">
        <f>'Statements Summary 2025'!V89</f>
        <v>488332</v>
      </c>
      <c r="G87" s="211">
        <f>'Statements Summary 2026'!V89</f>
        <v>509481</v>
      </c>
      <c r="H87" s="211">
        <f>'Statements Summary 2027'!V89</f>
        <v>531018</v>
      </c>
      <c r="I87" s="211">
        <f>'Statements Summary 2028'!V89</f>
        <v>552400</v>
      </c>
      <c r="K87" s="211">
        <f>'BS 2024'!F19</f>
        <v>451711</v>
      </c>
      <c r="L87" s="211">
        <f>'BS 2024'!G19</f>
        <v>453422</v>
      </c>
      <c r="M87" s="211">
        <f>'BS 2024'!H19</f>
        <v>455133</v>
      </c>
      <c r="N87" s="211">
        <f>'BS 2024'!I19</f>
        <v>456844</v>
      </c>
      <c r="O87" s="211">
        <f>'BS 2024'!J19</f>
        <v>458555</v>
      </c>
      <c r="P87" s="211">
        <f>'BS 2024'!K19</f>
        <v>460266</v>
      </c>
      <c r="Q87" s="211">
        <f>'BS 2024'!L19</f>
        <v>461977</v>
      </c>
      <c r="R87" s="211">
        <f>'BS 2024'!M19</f>
        <v>463688</v>
      </c>
      <c r="S87" s="211">
        <f>'BS 2024'!N19</f>
        <v>465399</v>
      </c>
      <c r="T87" s="211">
        <f>'BS 2024'!O19</f>
        <v>467110</v>
      </c>
      <c r="U87" s="211">
        <f>'BS 2024'!P19</f>
        <v>468821</v>
      </c>
      <c r="V87" s="211">
        <f>'BS 2024'!Q19</f>
        <v>470532</v>
      </c>
    </row>
    <row r="88" spans="2:22" x14ac:dyDescent="0.3">
      <c r="B88" t="s">
        <v>57</v>
      </c>
      <c r="E88" s="211">
        <f t="shared" si="12"/>
        <v>3094924.4</v>
      </c>
      <c r="F88" s="211">
        <f>'Statements Summary 2025'!V90</f>
        <v>7828124.1871999996</v>
      </c>
      <c r="G88" s="211">
        <f>'Statements Summary 2026'!V90</f>
        <v>13659469.987199999</v>
      </c>
      <c r="H88" s="211">
        <f>'Statements Summary 2027'!V90</f>
        <v>22869172.987199992</v>
      </c>
      <c r="I88" s="211">
        <f>'Statements Summary 2028'!V90</f>
        <v>33249164.987199977</v>
      </c>
      <c r="K88" s="211">
        <f>'BS 2024'!F20</f>
        <v>609295</v>
      </c>
      <c r="L88" s="211">
        <f>'BS 2024'!G20</f>
        <v>835472.39999999991</v>
      </c>
      <c r="M88" s="211">
        <f>'BS 2024'!H20</f>
        <v>1010132.6</v>
      </c>
      <c r="N88" s="211">
        <f>'BS 2024'!I20</f>
        <v>1259516.3999999999</v>
      </c>
      <c r="O88" s="211">
        <f>'BS 2024'!J20</f>
        <v>1444851.7999999998</v>
      </c>
      <c r="P88" s="211">
        <f>'BS 2024'!K20</f>
        <v>1653786.7999999998</v>
      </c>
      <c r="Q88" s="211">
        <f>'BS 2024'!L20</f>
        <v>1849233.4</v>
      </c>
      <c r="R88" s="211">
        <f>'BS 2024'!M20</f>
        <v>2063635.5999999999</v>
      </c>
      <c r="S88" s="211">
        <f>'BS 2024'!N20</f>
        <v>2286765.4</v>
      </c>
      <c r="T88" s="211">
        <f>'BS 2024'!O20</f>
        <v>2548678.7999999998</v>
      </c>
      <c r="U88" s="211">
        <f>'BS 2024'!P20</f>
        <v>2819551.8</v>
      </c>
      <c r="V88" s="211">
        <f>'BS 2024'!Q20</f>
        <v>3094924.4</v>
      </c>
    </row>
    <row r="89" spans="2:22" x14ac:dyDescent="0.3">
      <c r="B89" t="s">
        <v>58</v>
      </c>
      <c r="E89" s="211">
        <f t="shared" si="12"/>
        <v>-85795</v>
      </c>
      <c r="F89" s="211">
        <f>'Statements Summary 2025'!V91</f>
        <v>-113058.74660000001</v>
      </c>
      <c r="G89" s="211">
        <f>'Statements Summary 2026'!V91</f>
        <v>-131957</v>
      </c>
      <c r="H89" s="211">
        <f>'Statements Summary 2027'!V91</f>
        <v>-187344.40000000002</v>
      </c>
      <c r="I89" s="211">
        <f>'Statements Summary 2028'!V91</f>
        <v>-210827.40000000002</v>
      </c>
      <c r="K89" s="211"/>
      <c r="L89" s="211">
        <f>'BS 2024'!G25</f>
        <v>-81905.200000000012</v>
      </c>
      <c r="M89" s="211">
        <f>'BS 2024'!H25</f>
        <v>-68185</v>
      </c>
      <c r="N89" s="211">
        <f>'BS 2024'!I25</f>
        <v>-86025</v>
      </c>
      <c r="O89" s="211">
        <f>'BS 2024'!J25</f>
        <v>-69172</v>
      </c>
      <c r="P89" s="211">
        <f>'BS 2024'!K25</f>
        <v>-74231</v>
      </c>
      <c r="Q89" s="211">
        <f>'BS 2024'!L25</f>
        <v>-70018</v>
      </c>
      <c r="R89" s="211">
        <f>'BS 2024'!M25</f>
        <v>-73916</v>
      </c>
      <c r="S89" s="211">
        <f>'BS 2024'!N25</f>
        <v>-75257</v>
      </c>
      <c r="T89" s="211">
        <f>'BS 2024'!O25</f>
        <v>-84112</v>
      </c>
      <c r="U89" s="211">
        <f>'BS 2024'!P25</f>
        <v>-85511</v>
      </c>
      <c r="V89" s="211">
        <f>'BS 2024'!Q25</f>
        <v>-85795</v>
      </c>
    </row>
    <row r="90" spans="2:22" x14ac:dyDescent="0.3">
      <c r="B90" t="s">
        <v>201</v>
      </c>
      <c r="E90" s="211">
        <f t="shared" si="12"/>
        <v>-365002</v>
      </c>
      <c r="F90" s="211">
        <f>'Statements Summary 2025'!V92</f>
        <v>-163186</v>
      </c>
      <c r="G90" s="211">
        <f>'Statements Summary 2026'!V92</f>
        <v>0</v>
      </c>
      <c r="H90" s="211">
        <f>'Statements Summary 2027'!V92</f>
        <v>0</v>
      </c>
      <c r="I90" s="211">
        <f>'Statements Summary 2028'!V92</f>
        <v>0</v>
      </c>
      <c r="K90" s="211">
        <f>'BS 2024'!F27</f>
        <v>-550000</v>
      </c>
      <c r="L90" s="211">
        <f>'BS 2024'!G27</f>
        <v>-533182</v>
      </c>
      <c r="M90" s="211">
        <f>'BS 2024'!H27</f>
        <v>-516364</v>
      </c>
      <c r="N90" s="211">
        <f>'BS 2024'!I27</f>
        <v>-499546</v>
      </c>
      <c r="O90" s="211">
        <f>'BS 2024'!J27</f>
        <v>-482728</v>
      </c>
      <c r="P90" s="211">
        <f>'BS 2024'!K27</f>
        <v>-465910</v>
      </c>
      <c r="Q90" s="211">
        <f>'BS 2024'!L27</f>
        <v>-449092</v>
      </c>
      <c r="R90" s="211">
        <f>'BS 2024'!M27</f>
        <v>-432274</v>
      </c>
      <c r="S90" s="211">
        <f>'BS 2024'!N27</f>
        <v>-415456</v>
      </c>
      <c r="T90" s="211">
        <f>'BS 2024'!O27</f>
        <v>-398638</v>
      </c>
      <c r="U90" s="211">
        <f>'BS 2024'!P27</f>
        <v>-381820</v>
      </c>
      <c r="V90" s="211">
        <f>'BS 2024'!Q27</f>
        <v>-365002</v>
      </c>
    </row>
    <row r="91" spans="2:22" x14ac:dyDescent="0.3">
      <c r="B91" t="s">
        <v>60</v>
      </c>
      <c r="E91" s="211">
        <f t="shared" si="12"/>
        <v>-450797</v>
      </c>
      <c r="F91" s="211">
        <f>'Statements Summary 2025'!V93</f>
        <v>-276244.74660000001</v>
      </c>
      <c r="G91" s="211">
        <f>'Statements Summary 2026'!V93</f>
        <v>-131957</v>
      </c>
      <c r="H91" s="211">
        <f>'Statements Summary 2027'!V93</f>
        <v>-187344.40000000002</v>
      </c>
      <c r="I91" s="211">
        <f>'Statements Summary 2028'!V93</f>
        <v>-210827.40000000002</v>
      </c>
      <c r="K91" s="211">
        <f>'BS 2024'!F32</f>
        <v>-611821</v>
      </c>
      <c r="L91" s="211">
        <f>'BS 2024'!G32</f>
        <v>-615087.19999999995</v>
      </c>
      <c r="M91" s="211">
        <f>'BS 2024'!H32</f>
        <v>-584549</v>
      </c>
      <c r="N91" s="211">
        <f>'BS 2024'!I32</f>
        <v>-585571</v>
      </c>
      <c r="O91" s="211">
        <f>'BS 2024'!J32</f>
        <v>-551900</v>
      </c>
      <c r="P91" s="211">
        <f>'BS 2024'!K32</f>
        <v>-540141</v>
      </c>
      <c r="Q91" s="211">
        <f>'BS 2024'!L32</f>
        <v>-519110</v>
      </c>
      <c r="R91" s="211">
        <f>'BS 2024'!M32</f>
        <v>-506190</v>
      </c>
      <c r="S91" s="211">
        <f>'BS 2024'!N32</f>
        <v>-490713</v>
      </c>
      <c r="T91" s="211">
        <f>'BS 2024'!O32</f>
        <v>-482750</v>
      </c>
      <c r="U91" s="211">
        <f>'BS 2024'!P32</f>
        <v>-467331</v>
      </c>
      <c r="V91" s="211">
        <f>'BS 2024'!Q32</f>
        <v>-450797</v>
      </c>
    </row>
    <row r="92" spans="2:22" x14ac:dyDescent="0.3">
      <c r="B92" t="s">
        <v>61</v>
      </c>
      <c r="E92" s="211">
        <f t="shared" si="12"/>
        <v>2644127.4</v>
      </c>
      <c r="F92" s="211">
        <f>'Statements Summary 2025'!V94</f>
        <v>7551879.4405999994</v>
      </c>
      <c r="G92" s="211">
        <f>'Statements Summary 2026'!V94</f>
        <v>13527512.987199999</v>
      </c>
      <c r="H92" s="211">
        <f>'Statements Summary 2027'!V94</f>
        <v>22681828.587199993</v>
      </c>
      <c r="I92" s="211">
        <f>'Statements Summary 2028'!V94</f>
        <v>33038337.587199979</v>
      </c>
      <c r="K92" s="211">
        <f>'BS 2024'!F33</f>
        <v>-2526</v>
      </c>
      <c r="L92" s="211">
        <f>'BS 2024'!G33</f>
        <v>220385.19999999995</v>
      </c>
      <c r="M92" s="211">
        <f>'BS 2024'!H33</f>
        <v>425583.6</v>
      </c>
      <c r="N92" s="211">
        <f>'BS 2024'!I33</f>
        <v>673945.39999999991</v>
      </c>
      <c r="O92" s="211">
        <f>'BS 2024'!J33</f>
        <v>892951.79999999981</v>
      </c>
      <c r="P92" s="211">
        <f>'BS 2024'!K33</f>
        <v>1113645.7999999998</v>
      </c>
      <c r="Q92" s="211">
        <f>'BS 2024'!L33</f>
        <v>1330123.3999999999</v>
      </c>
      <c r="R92" s="211">
        <f>'BS 2024'!M33</f>
        <v>1557445.5999999999</v>
      </c>
      <c r="S92" s="211">
        <f>'BS 2024'!N33</f>
        <v>1796052.4</v>
      </c>
      <c r="T92" s="211">
        <f>'BS 2024'!O33</f>
        <v>2065928.7999999998</v>
      </c>
      <c r="U92" s="211">
        <f>'BS 2024'!P33</f>
        <v>2352220.7999999998</v>
      </c>
      <c r="V92" s="211">
        <f>'BS 2024'!Q33</f>
        <v>2644127.4</v>
      </c>
    </row>
    <row r="93" spans="2:22" x14ac:dyDescent="0.3">
      <c r="B93" t="s">
        <v>62</v>
      </c>
      <c r="E93" s="211">
        <f t="shared" si="12"/>
        <v>2624392.4</v>
      </c>
      <c r="F93" s="211">
        <f>'Statements Summary 2025'!V95</f>
        <v>7339792.1871999996</v>
      </c>
      <c r="G93" s="211">
        <f>'Statements Summary 2026'!V95</f>
        <v>13149988.987199999</v>
      </c>
      <c r="H93" s="211">
        <f>'Statements Summary 2027'!V95</f>
        <v>22338154.987199992</v>
      </c>
      <c r="I93" s="211">
        <f>'Statements Summary 2028'!V95</f>
        <v>32696764.987199977</v>
      </c>
      <c r="K93" s="211">
        <f>'BS 2024'!F14</f>
        <v>157584</v>
      </c>
      <c r="L93" s="211">
        <f>'BS 2024'!G14</f>
        <v>382050.39999999997</v>
      </c>
      <c r="M93" s="211">
        <f>'BS 2024'!H14</f>
        <v>554999.6</v>
      </c>
      <c r="N93" s="211">
        <f>'BS 2024'!I14</f>
        <v>802672.39999999991</v>
      </c>
      <c r="O93" s="211">
        <f>'BS 2024'!J14</f>
        <v>986296.79999999993</v>
      </c>
      <c r="P93" s="211">
        <f>'BS 2024'!K14</f>
        <v>1193520.7999999998</v>
      </c>
      <c r="Q93" s="211">
        <f>'BS 2024'!L14</f>
        <v>1387256.4</v>
      </c>
      <c r="R93" s="211">
        <f>'BS 2024'!M14</f>
        <v>1599947.5999999999</v>
      </c>
      <c r="S93" s="211">
        <f>'BS 2024'!N14</f>
        <v>1821366.4</v>
      </c>
      <c r="T93" s="211">
        <f>'BS 2024'!O14</f>
        <v>2081568.7999999998</v>
      </c>
      <c r="U93" s="211">
        <f>'BS 2024'!P14</f>
        <v>2350730.7999999998</v>
      </c>
      <c r="V93" s="211">
        <f>'BS 2024'!Q14</f>
        <v>2624392.4</v>
      </c>
    </row>
    <row r="94" spans="2:22" x14ac:dyDescent="0.3">
      <c r="B94" t="s">
        <v>63</v>
      </c>
      <c r="E94" s="211" t="str">
        <f t="shared" si="12"/>
        <v>-</v>
      </c>
      <c r="F94" s="211" t="str">
        <f>'Statements Summary 2025'!V96</f>
        <v>-</v>
      </c>
      <c r="G94" s="211" t="str">
        <f>'Statements Summary 2026'!V96</f>
        <v>-</v>
      </c>
      <c r="H94" s="211" t="str">
        <f>'Statements Summary 2027'!V96</f>
        <v>-</v>
      </c>
      <c r="I94" s="211" t="str">
        <f>'Statements Summary 2028'!V96</f>
        <v>-</v>
      </c>
      <c r="K94" s="211" t="s">
        <v>195</v>
      </c>
      <c r="L94" s="211" t="s">
        <v>195</v>
      </c>
      <c r="M94" s="211" t="s">
        <v>195</v>
      </c>
      <c r="N94" s="211" t="s">
        <v>195</v>
      </c>
      <c r="O94" s="211" t="s">
        <v>195</v>
      </c>
      <c r="P94" s="211" t="s">
        <v>195</v>
      </c>
      <c r="Q94" s="211" t="s">
        <v>195</v>
      </c>
      <c r="R94" s="211" t="s">
        <v>195</v>
      </c>
      <c r="S94" s="211" t="s">
        <v>195</v>
      </c>
      <c r="T94" s="211" t="s">
        <v>195</v>
      </c>
      <c r="U94" s="211" t="s">
        <v>195</v>
      </c>
      <c r="V94" s="211" t="s">
        <v>195</v>
      </c>
    </row>
    <row r="95" spans="2:22" x14ac:dyDescent="0.3">
      <c r="B95" t="s">
        <v>64</v>
      </c>
      <c r="E95" s="211">
        <f t="shared" si="12"/>
        <v>0</v>
      </c>
      <c r="F95" s="211">
        <f>'Statements Summary 2025'!V97</f>
        <v>0</v>
      </c>
      <c r="G95" s="211">
        <f>'Statements Summary 2026'!V97</f>
        <v>0</v>
      </c>
      <c r="H95" s="211">
        <f>'Statements Summary 2027'!V97</f>
        <v>0</v>
      </c>
      <c r="I95" s="211">
        <f>'Statements Summary 2028'!V97</f>
        <v>0</v>
      </c>
      <c r="K95" s="211" t="s">
        <v>195</v>
      </c>
      <c r="L95" s="211" t="s">
        <v>195</v>
      </c>
      <c r="M95" s="211" t="s">
        <v>195</v>
      </c>
      <c r="N95" s="211" t="s">
        <v>195</v>
      </c>
      <c r="O95" s="211" t="s">
        <v>195</v>
      </c>
      <c r="P95" s="211" t="s">
        <v>195</v>
      </c>
      <c r="Q95" s="211" t="s">
        <v>195</v>
      </c>
      <c r="R95" s="211" t="s">
        <v>195</v>
      </c>
      <c r="S95" s="211" t="s">
        <v>195</v>
      </c>
      <c r="T95" s="211" t="s">
        <v>195</v>
      </c>
      <c r="U95" s="211" t="s">
        <v>195</v>
      </c>
      <c r="V95" s="211"/>
    </row>
    <row r="96" spans="2:22" x14ac:dyDescent="0.3">
      <c r="B96" t="s">
        <v>65</v>
      </c>
      <c r="E96" s="211">
        <f t="shared" si="12"/>
        <v>2644127.4</v>
      </c>
      <c r="F96" s="211">
        <f>'Statements Summary 2025'!V98</f>
        <v>7551879.4405999994</v>
      </c>
      <c r="G96" s="211">
        <f>'Statements Summary 2026'!V98</f>
        <v>13527512.987199999</v>
      </c>
      <c r="H96" s="211">
        <f>'Statements Summary 2027'!V98</f>
        <v>22681828.587199993</v>
      </c>
      <c r="I96" s="211">
        <f>'Statements Summary 2028'!V98</f>
        <v>33038337.587199979</v>
      </c>
      <c r="K96" s="211">
        <f>K92</f>
        <v>-2526</v>
      </c>
      <c r="L96" s="211">
        <f t="shared" ref="L96:V96" si="13">L92</f>
        <v>220385.19999999995</v>
      </c>
      <c r="M96" s="211">
        <f t="shared" si="13"/>
        <v>425583.6</v>
      </c>
      <c r="N96" s="211">
        <f t="shared" si="13"/>
        <v>673945.39999999991</v>
      </c>
      <c r="O96" s="211">
        <f t="shared" si="13"/>
        <v>892951.79999999981</v>
      </c>
      <c r="P96" s="211">
        <f t="shared" si="13"/>
        <v>1113645.7999999998</v>
      </c>
      <c r="Q96" s="211">
        <f t="shared" si="13"/>
        <v>1330123.3999999999</v>
      </c>
      <c r="R96" s="211">
        <f t="shared" si="13"/>
        <v>1557445.5999999999</v>
      </c>
      <c r="S96" s="211">
        <f t="shared" si="13"/>
        <v>1796052.4</v>
      </c>
      <c r="T96" s="211">
        <f t="shared" si="13"/>
        <v>2065928.7999999998</v>
      </c>
      <c r="U96" s="211">
        <f t="shared" si="13"/>
        <v>2352220.7999999998</v>
      </c>
      <c r="V96" s="211">
        <f t="shared" si="13"/>
        <v>2644127.4</v>
      </c>
    </row>
    <row r="97" spans="2:22" x14ac:dyDescent="0.3">
      <c r="B97" t="s">
        <v>66</v>
      </c>
      <c r="E97" s="211">
        <f t="shared" si="12"/>
        <v>2644127.4</v>
      </c>
      <c r="F97" s="211">
        <f>'Statements Summary 2025'!V99</f>
        <v>7551879.4405999994</v>
      </c>
      <c r="G97" s="211">
        <f>'Statements Summary 2026'!V99</f>
        <v>13527512.987199999</v>
      </c>
      <c r="H97" s="211">
        <f>'Statements Summary 2027'!V99</f>
        <v>22681828.587199993</v>
      </c>
      <c r="I97" s="211">
        <f>'Statements Summary 2028'!V99</f>
        <v>33038337.587199979</v>
      </c>
      <c r="K97" s="211">
        <f>K96</f>
        <v>-2526</v>
      </c>
      <c r="L97" s="211">
        <f t="shared" ref="L97:V97" si="14">L96</f>
        <v>220385.19999999995</v>
      </c>
      <c r="M97" s="211">
        <f t="shared" si="14"/>
        <v>425583.6</v>
      </c>
      <c r="N97" s="211">
        <f t="shared" si="14"/>
        <v>673945.39999999991</v>
      </c>
      <c r="O97" s="211">
        <f t="shared" si="14"/>
        <v>892951.79999999981</v>
      </c>
      <c r="P97" s="211">
        <f t="shared" si="14"/>
        <v>1113645.7999999998</v>
      </c>
      <c r="Q97" s="211">
        <f t="shared" si="14"/>
        <v>1330123.3999999999</v>
      </c>
      <c r="R97" s="211">
        <f t="shared" si="14"/>
        <v>1557445.5999999999</v>
      </c>
      <c r="S97" s="211">
        <f t="shared" si="14"/>
        <v>1796052.4</v>
      </c>
      <c r="T97" s="211">
        <f t="shared" si="14"/>
        <v>2065928.7999999998</v>
      </c>
      <c r="U97" s="211">
        <f t="shared" si="14"/>
        <v>2352220.7999999998</v>
      </c>
      <c r="V97" s="211">
        <f t="shared" si="14"/>
        <v>2644127.4</v>
      </c>
    </row>
    <row r="99" spans="2:22" x14ac:dyDescent="0.3">
      <c r="B99" s="181" t="s">
        <v>333</v>
      </c>
      <c r="C99" s="181"/>
      <c r="D99" s="181"/>
      <c r="E99" s="181"/>
      <c r="F99" s="154"/>
      <c r="G99" s="154"/>
      <c r="H99" s="154"/>
      <c r="I99" s="154"/>
      <c r="K99" s="387" t="s">
        <v>203</v>
      </c>
      <c r="L99" s="387"/>
      <c r="M99" s="387"/>
      <c r="N99" s="387"/>
      <c r="O99" s="387"/>
      <c r="P99" s="387"/>
      <c r="Q99" s="387"/>
      <c r="R99" s="387"/>
      <c r="S99" s="387"/>
      <c r="T99" s="387"/>
      <c r="U99" s="387"/>
      <c r="V99" s="387"/>
    </row>
  </sheetData>
  <mergeCells count="6">
    <mergeCell ref="K99:V99"/>
    <mergeCell ref="K83:V83"/>
    <mergeCell ref="K2:V2"/>
    <mergeCell ref="K19:V19"/>
    <mergeCell ref="K41:V41"/>
    <mergeCell ref="K66:V66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61C7-D6CE-4149-858E-99174DB54BFC}">
  <dimension ref="B2:X92"/>
  <sheetViews>
    <sheetView showGridLines="0" zoomScale="95" zoomScaleNormal="95" workbookViewId="0">
      <selection activeCell="B25" sqref="B25:B37"/>
    </sheetView>
  </sheetViews>
  <sheetFormatPr defaultRowHeight="14.4" x14ac:dyDescent="0.3"/>
  <cols>
    <col min="1" max="1" width="1.77734375" customWidth="1"/>
    <col min="2" max="2" width="24.5546875" customWidth="1"/>
    <col min="3" max="3" width="8.44140625" customWidth="1"/>
    <col min="4" max="4" width="7.44140625" customWidth="1"/>
    <col min="5" max="5" width="7.109375" customWidth="1"/>
    <col min="6" max="6" width="11.5546875" customWidth="1"/>
    <col min="7" max="7" width="10.44140625" customWidth="1"/>
    <col min="8" max="8" width="11.88671875" customWidth="1"/>
    <col min="9" max="9" width="11.77734375" customWidth="1"/>
    <col min="10" max="10" width="11.44140625" customWidth="1"/>
    <col min="11" max="12" width="12.109375" customWidth="1"/>
    <col min="13" max="13" width="10.6640625" customWidth="1"/>
    <col min="14" max="14" width="12" customWidth="1"/>
    <col min="17" max="17" width="11.6640625" customWidth="1"/>
    <col min="19" max="19" width="11.21875" customWidth="1"/>
    <col min="22" max="22" width="10" bestFit="1" customWidth="1"/>
  </cols>
  <sheetData>
    <row r="2" spans="2:24" ht="15" customHeight="1" x14ac:dyDescent="0.35">
      <c r="B2" s="8" t="s">
        <v>249</v>
      </c>
      <c r="C2" s="8"/>
    </row>
    <row r="3" spans="2:24" ht="13.8" customHeight="1" x14ac:dyDescent="0.35">
      <c r="B3" s="8"/>
      <c r="C3" s="8"/>
    </row>
    <row r="4" spans="2:24" s="13" customFormat="1" ht="15" customHeight="1" x14ac:dyDescent="0.3">
      <c r="B4" s="149"/>
      <c r="C4" s="149"/>
      <c r="D4" s="149"/>
      <c r="E4" s="149"/>
      <c r="F4" s="149"/>
      <c r="G4" s="216">
        <v>2025</v>
      </c>
      <c r="H4" s="216">
        <v>2025</v>
      </c>
      <c r="I4" s="216">
        <v>2025</v>
      </c>
      <c r="J4" s="216">
        <v>2025</v>
      </c>
      <c r="K4" s="216">
        <v>2025</v>
      </c>
      <c r="L4" s="216">
        <v>2025</v>
      </c>
      <c r="M4" s="216">
        <v>2025</v>
      </c>
      <c r="N4" s="216">
        <v>2025</v>
      </c>
      <c r="O4" s="216">
        <v>2025</v>
      </c>
      <c r="P4" s="216">
        <v>2025</v>
      </c>
      <c r="Q4" s="216">
        <v>2025</v>
      </c>
      <c r="R4" s="216">
        <v>2025</v>
      </c>
      <c r="S4" s="216"/>
      <c r="T4" s="216"/>
      <c r="U4" s="216"/>
      <c r="V4" s="154"/>
      <c r="W4" s="154"/>
      <c r="X4" s="149"/>
    </row>
    <row r="5" spans="2:24" ht="15" customHeight="1" x14ac:dyDescent="0.3">
      <c r="B5" s="324" t="s">
        <v>0</v>
      </c>
      <c r="C5" s="166"/>
      <c r="D5" s="166"/>
      <c r="E5" s="166"/>
      <c r="F5" s="166"/>
      <c r="G5" s="325" t="s">
        <v>32</v>
      </c>
      <c r="H5" s="325" t="s">
        <v>33</v>
      </c>
      <c r="I5" s="325" t="s">
        <v>34</v>
      </c>
      <c r="J5" s="325" t="s">
        <v>35</v>
      </c>
      <c r="K5" s="325" t="s">
        <v>36</v>
      </c>
      <c r="L5" s="325" t="s">
        <v>37</v>
      </c>
      <c r="M5" s="325" t="s">
        <v>38</v>
      </c>
      <c r="N5" s="325" t="s">
        <v>39</v>
      </c>
      <c r="O5" s="325" t="s">
        <v>40</v>
      </c>
      <c r="P5" s="325" t="s">
        <v>41</v>
      </c>
      <c r="Q5" s="325" t="s">
        <v>42</v>
      </c>
      <c r="R5" s="325" t="s">
        <v>43</v>
      </c>
      <c r="S5" s="166"/>
      <c r="T5" s="166"/>
      <c r="U5" s="166"/>
      <c r="V5" s="166"/>
      <c r="W5" s="166"/>
      <c r="X5" s="166"/>
    </row>
    <row r="6" spans="2:24" ht="15" customHeight="1" x14ac:dyDescent="0.3">
      <c r="B6" s="4"/>
      <c r="G6" s="389" t="s">
        <v>243</v>
      </c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</row>
    <row r="7" spans="2:24" ht="14.4" customHeight="1" x14ac:dyDescent="0.3">
      <c r="B7" s="4" t="s">
        <v>242</v>
      </c>
      <c r="G7" s="220">
        <v>7000</v>
      </c>
      <c r="H7" s="220">
        <v>7100</v>
      </c>
      <c r="I7" s="220">
        <v>7200</v>
      </c>
      <c r="J7" s="220">
        <v>7300</v>
      </c>
      <c r="K7" s="220">
        <v>7400</v>
      </c>
      <c r="L7" s="220">
        <v>7500</v>
      </c>
      <c r="M7" s="220">
        <v>7600</v>
      </c>
      <c r="N7" s="220">
        <v>7700</v>
      </c>
      <c r="O7" s="220">
        <v>7800</v>
      </c>
      <c r="P7" s="220">
        <v>7850</v>
      </c>
      <c r="Q7" s="220">
        <v>7900</v>
      </c>
      <c r="R7" s="220">
        <v>7950</v>
      </c>
    </row>
    <row r="8" spans="2:24" x14ac:dyDescent="0.3">
      <c r="B8" s="4" t="s">
        <v>227</v>
      </c>
      <c r="G8" s="328">
        <v>3</v>
      </c>
      <c r="H8" s="328">
        <v>3</v>
      </c>
      <c r="I8" s="328">
        <v>3</v>
      </c>
      <c r="J8" s="328">
        <v>3</v>
      </c>
      <c r="K8" s="328">
        <v>3</v>
      </c>
      <c r="L8" s="328">
        <v>3</v>
      </c>
      <c r="M8" s="328">
        <v>3</v>
      </c>
      <c r="N8" s="328">
        <v>3</v>
      </c>
      <c r="O8" s="328">
        <v>3</v>
      </c>
      <c r="P8" s="328">
        <v>3</v>
      </c>
      <c r="Q8" s="328">
        <v>3</v>
      </c>
      <c r="R8" s="328">
        <v>3</v>
      </c>
    </row>
    <row r="9" spans="2:24" x14ac:dyDescent="0.3">
      <c r="B9" s="4" t="s">
        <v>230</v>
      </c>
      <c r="G9" s="318">
        <f t="shared" ref="G9:R9" si="0">G7/G8</f>
        <v>2333.3333333333335</v>
      </c>
      <c r="H9" s="318">
        <f t="shared" si="0"/>
        <v>2366.6666666666665</v>
      </c>
      <c r="I9" s="318">
        <f t="shared" si="0"/>
        <v>2400</v>
      </c>
      <c r="J9" s="318">
        <f t="shared" si="0"/>
        <v>2433.3333333333335</v>
      </c>
      <c r="K9" s="318">
        <f t="shared" si="0"/>
        <v>2466.6666666666665</v>
      </c>
      <c r="L9" s="318">
        <f t="shared" si="0"/>
        <v>2500</v>
      </c>
      <c r="M9" s="318">
        <f t="shared" si="0"/>
        <v>2533.3333333333335</v>
      </c>
      <c r="N9" s="318">
        <f t="shared" si="0"/>
        <v>2566.6666666666665</v>
      </c>
      <c r="O9" s="318">
        <f t="shared" si="0"/>
        <v>2600</v>
      </c>
      <c r="P9" s="318">
        <f t="shared" si="0"/>
        <v>2616.6666666666665</v>
      </c>
      <c r="Q9" s="318">
        <f t="shared" si="0"/>
        <v>2633.3333333333335</v>
      </c>
      <c r="R9" s="318">
        <f t="shared" si="0"/>
        <v>2650</v>
      </c>
    </row>
    <row r="10" spans="2:24" x14ac:dyDescent="0.3">
      <c r="B10" s="4" t="s">
        <v>239</v>
      </c>
      <c r="G10" s="321">
        <v>1050</v>
      </c>
      <c r="H10" s="321">
        <v>1075</v>
      </c>
      <c r="I10" s="321">
        <v>1100</v>
      </c>
      <c r="J10" s="321">
        <v>1125</v>
      </c>
      <c r="K10" s="321">
        <v>1050</v>
      </c>
      <c r="L10" s="321">
        <v>1050</v>
      </c>
      <c r="M10" s="321">
        <v>1150</v>
      </c>
      <c r="N10" s="321">
        <v>1050</v>
      </c>
      <c r="O10" s="321">
        <v>1200</v>
      </c>
      <c r="P10" s="321">
        <v>1200</v>
      </c>
      <c r="Q10" s="321">
        <v>1050</v>
      </c>
      <c r="R10" s="321">
        <v>1050</v>
      </c>
    </row>
    <row r="11" spans="2:24" x14ac:dyDescent="0.3">
      <c r="B11" s="4" t="s">
        <v>240</v>
      </c>
      <c r="G11" s="326">
        <v>0.8</v>
      </c>
      <c r="H11" s="326">
        <v>0.8</v>
      </c>
      <c r="I11" s="326">
        <v>0.8</v>
      </c>
      <c r="J11" s="326">
        <v>0.8</v>
      </c>
      <c r="K11" s="326">
        <v>0.8</v>
      </c>
      <c r="L11" s="326">
        <v>0.8</v>
      </c>
      <c r="M11" s="326">
        <v>0.8</v>
      </c>
      <c r="N11" s="326">
        <v>0.8</v>
      </c>
      <c r="O11" s="326">
        <v>0.8</v>
      </c>
      <c r="P11" s="326">
        <v>0.8</v>
      </c>
      <c r="Q11" s="326">
        <v>0.8</v>
      </c>
      <c r="R11" s="326">
        <v>0.8</v>
      </c>
    </row>
    <row r="12" spans="2:24" x14ac:dyDescent="0.3">
      <c r="B12" s="4" t="s">
        <v>241</v>
      </c>
      <c r="G12" s="327">
        <f t="shared" ref="G12:R12" si="1">G10*G11</f>
        <v>840</v>
      </c>
      <c r="H12" s="327">
        <f t="shared" si="1"/>
        <v>860</v>
      </c>
      <c r="I12" s="327">
        <f t="shared" si="1"/>
        <v>880</v>
      </c>
      <c r="J12" s="327">
        <f t="shared" si="1"/>
        <v>900</v>
      </c>
      <c r="K12" s="327">
        <f t="shared" si="1"/>
        <v>840</v>
      </c>
      <c r="L12" s="327">
        <f t="shared" si="1"/>
        <v>840</v>
      </c>
      <c r="M12" s="327">
        <f t="shared" si="1"/>
        <v>920</v>
      </c>
      <c r="N12" s="327">
        <f t="shared" si="1"/>
        <v>840</v>
      </c>
      <c r="O12" s="327">
        <f t="shared" si="1"/>
        <v>960</v>
      </c>
      <c r="P12" s="327">
        <f t="shared" si="1"/>
        <v>960</v>
      </c>
      <c r="Q12" s="327">
        <f t="shared" si="1"/>
        <v>840</v>
      </c>
      <c r="R12" s="327">
        <f t="shared" si="1"/>
        <v>840</v>
      </c>
    </row>
    <row r="13" spans="2:24" x14ac:dyDescent="0.3">
      <c r="B13" s="4" t="s">
        <v>228</v>
      </c>
      <c r="G13" s="321">
        <v>7500</v>
      </c>
      <c r="H13" s="321">
        <v>7500</v>
      </c>
      <c r="I13" s="321">
        <v>7500</v>
      </c>
      <c r="J13" s="321">
        <v>7500</v>
      </c>
      <c r="K13" s="321">
        <v>7500</v>
      </c>
      <c r="L13" s="321">
        <v>7500</v>
      </c>
      <c r="M13" s="321">
        <v>7500</v>
      </c>
      <c r="N13" s="321">
        <v>7500</v>
      </c>
      <c r="O13" s="321">
        <v>7500</v>
      </c>
      <c r="P13" s="321">
        <v>7500</v>
      </c>
      <c r="Q13" s="321">
        <v>7500</v>
      </c>
      <c r="R13" s="321">
        <v>7500</v>
      </c>
    </row>
    <row r="14" spans="2:24" x14ac:dyDescent="0.3">
      <c r="B14" s="4" t="s">
        <v>231</v>
      </c>
      <c r="G14" s="322">
        <v>600</v>
      </c>
      <c r="H14" s="322">
        <v>600</v>
      </c>
      <c r="I14" s="322">
        <v>600</v>
      </c>
      <c r="J14" s="322">
        <v>600</v>
      </c>
      <c r="K14" s="322">
        <v>600</v>
      </c>
      <c r="L14" s="322">
        <v>600</v>
      </c>
      <c r="M14" s="322">
        <v>600</v>
      </c>
      <c r="N14" s="322">
        <v>600</v>
      </c>
      <c r="O14" s="322">
        <v>600</v>
      </c>
      <c r="P14" s="322">
        <v>600</v>
      </c>
      <c r="Q14" s="322">
        <v>600</v>
      </c>
      <c r="R14" s="322">
        <v>600</v>
      </c>
    </row>
    <row r="15" spans="2:24" x14ac:dyDescent="0.3">
      <c r="B15" s="4" t="s">
        <v>229</v>
      </c>
      <c r="G15" s="319">
        <f t="shared" ref="G15:R15" si="2">G9+G12+G14</f>
        <v>3773.3333333333335</v>
      </c>
      <c r="H15" s="319">
        <f t="shared" si="2"/>
        <v>3826.6666666666665</v>
      </c>
      <c r="I15" s="319">
        <f t="shared" si="2"/>
        <v>3880</v>
      </c>
      <c r="J15" s="319">
        <f t="shared" si="2"/>
        <v>3933.3333333333335</v>
      </c>
      <c r="K15" s="319">
        <f t="shared" si="2"/>
        <v>3906.6666666666665</v>
      </c>
      <c r="L15" s="319">
        <f t="shared" si="2"/>
        <v>3940</v>
      </c>
      <c r="M15" s="319">
        <f t="shared" si="2"/>
        <v>4053.3333333333335</v>
      </c>
      <c r="N15" s="319">
        <f t="shared" si="2"/>
        <v>4006.6666666666665</v>
      </c>
      <c r="O15" s="319">
        <f t="shared" si="2"/>
        <v>4160</v>
      </c>
      <c r="P15" s="319">
        <f t="shared" si="2"/>
        <v>4176.6666666666661</v>
      </c>
      <c r="Q15" s="319">
        <f t="shared" si="2"/>
        <v>4073.3333333333335</v>
      </c>
      <c r="R15" s="319">
        <f t="shared" si="2"/>
        <v>4090</v>
      </c>
    </row>
    <row r="16" spans="2:24" x14ac:dyDescent="0.3">
      <c r="B16" s="25"/>
      <c r="C16" s="329"/>
      <c r="D16" s="329"/>
      <c r="E16" s="329"/>
      <c r="F16" s="329"/>
      <c r="G16" s="385" t="s">
        <v>232</v>
      </c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29"/>
      <c r="T16" s="329"/>
      <c r="U16" s="329"/>
      <c r="V16" s="329"/>
      <c r="W16" s="329"/>
    </row>
    <row r="17" spans="2:23" x14ac:dyDescent="0.3">
      <c r="B17" s="4" t="s">
        <v>233</v>
      </c>
      <c r="G17" s="323">
        <v>0.61</v>
      </c>
      <c r="H17" s="323">
        <v>0.61</v>
      </c>
      <c r="I17" s="323">
        <v>0.61</v>
      </c>
      <c r="J17" s="323">
        <v>0.61</v>
      </c>
      <c r="K17" s="323">
        <v>0.61</v>
      </c>
      <c r="L17" s="323">
        <v>0.61</v>
      </c>
      <c r="M17" s="323">
        <v>0.61</v>
      </c>
      <c r="N17" s="323">
        <v>0.61</v>
      </c>
      <c r="O17" s="323">
        <v>0.61</v>
      </c>
      <c r="P17" s="323">
        <v>0.61</v>
      </c>
      <c r="Q17" s="323">
        <v>0.61</v>
      </c>
      <c r="R17" s="323">
        <v>0.61</v>
      </c>
    </row>
    <row r="18" spans="2:23" x14ac:dyDescent="0.3">
      <c r="B18" s="4" t="s">
        <v>234</v>
      </c>
      <c r="G18" s="220">
        <f t="shared" ref="G18:R18" si="3">G15*G17</f>
        <v>2301.7333333333336</v>
      </c>
      <c r="H18" s="220">
        <f t="shared" si="3"/>
        <v>2334.2666666666664</v>
      </c>
      <c r="I18" s="220">
        <f t="shared" si="3"/>
        <v>2366.7999999999997</v>
      </c>
      <c r="J18" s="220">
        <f t="shared" si="3"/>
        <v>2399.3333333333335</v>
      </c>
      <c r="K18" s="220">
        <f t="shared" si="3"/>
        <v>2383.0666666666666</v>
      </c>
      <c r="L18" s="220">
        <f t="shared" si="3"/>
        <v>2403.4</v>
      </c>
      <c r="M18" s="220">
        <f t="shared" si="3"/>
        <v>2472.5333333333333</v>
      </c>
      <c r="N18" s="220">
        <f t="shared" si="3"/>
        <v>2444.0666666666666</v>
      </c>
      <c r="O18" s="220">
        <f t="shared" si="3"/>
        <v>2537.6</v>
      </c>
      <c r="P18" s="220">
        <f t="shared" si="3"/>
        <v>2547.7666666666664</v>
      </c>
      <c r="Q18" s="220">
        <f t="shared" si="3"/>
        <v>2484.7333333333336</v>
      </c>
      <c r="R18" s="220">
        <f t="shared" si="3"/>
        <v>2494.9</v>
      </c>
    </row>
    <row r="19" spans="2:23" x14ac:dyDescent="0.3">
      <c r="B19" s="4" t="s">
        <v>236</v>
      </c>
      <c r="G19" s="323">
        <v>0.1</v>
      </c>
      <c r="H19" s="323">
        <v>0.1</v>
      </c>
      <c r="I19" s="323">
        <v>0.1</v>
      </c>
      <c r="J19" s="323">
        <v>0.1</v>
      </c>
      <c r="K19" s="323">
        <v>0.1</v>
      </c>
      <c r="L19" s="323">
        <v>0.1</v>
      </c>
      <c r="M19" s="323">
        <v>0.1</v>
      </c>
      <c r="N19" s="323">
        <v>0.1</v>
      </c>
      <c r="O19" s="323">
        <v>0.1</v>
      </c>
      <c r="P19" s="323">
        <v>0.1</v>
      </c>
      <c r="Q19" s="323">
        <v>0.1</v>
      </c>
      <c r="R19" s="323">
        <v>0.1</v>
      </c>
    </row>
    <row r="20" spans="2:23" x14ac:dyDescent="0.3">
      <c r="B20" s="4" t="s">
        <v>237</v>
      </c>
      <c r="G20" s="220">
        <f t="shared" ref="G20:R20" si="4">G18*G19</f>
        <v>230.17333333333337</v>
      </c>
      <c r="H20" s="220">
        <f t="shared" si="4"/>
        <v>233.42666666666665</v>
      </c>
      <c r="I20" s="220">
        <f t="shared" si="4"/>
        <v>236.67999999999998</v>
      </c>
      <c r="J20" s="220">
        <f t="shared" si="4"/>
        <v>239.93333333333337</v>
      </c>
      <c r="K20" s="220">
        <f t="shared" si="4"/>
        <v>238.30666666666667</v>
      </c>
      <c r="L20" s="220">
        <f t="shared" si="4"/>
        <v>240.34000000000003</v>
      </c>
      <c r="M20" s="220">
        <f t="shared" si="4"/>
        <v>247.25333333333333</v>
      </c>
      <c r="N20" s="220">
        <f t="shared" si="4"/>
        <v>244.40666666666667</v>
      </c>
      <c r="O20" s="220">
        <f t="shared" si="4"/>
        <v>253.76</v>
      </c>
      <c r="P20" s="220">
        <f t="shared" si="4"/>
        <v>254.77666666666664</v>
      </c>
      <c r="Q20" s="220">
        <f t="shared" si="4"/>
        <v>248.47333333333336</v>
      </c>
      <c r="R20" s="220">
        <f t="shared" si="4"/>
        <v>249.49</v>
      </c>
    </row>
    <row r="21" spans="2:23" x14ac:dyDescent="0.3">
      <c r="B21" s="4" t="s">
        <v>238</v>
      </c>
      <c r="G21" s="323">
        <f t="shared" ref="G21:R21" si="5">1-G19</f>
        <v>0.9</v>
      </c>
      <c r="H21" s="323">
        <f t="shared" si="5"/>
        <v>0.9</v>
      </c>
      <c r="I21" s="323">
        <f t="shared" si="5"/>
        <v>0.9</v>
      </c>
      <c r="J21" s="323">
        <f t="shared" si="5"/>
        <v>0.9</v>
      </c>
      <c r="K21" s="323">
        <f t="shared" si="5"/>
        <v>0.9</v>
      </c>
      <c r="L21" s="323">
        <f t="shared" si="5"/>
        <v>0.9</v>
      </c>
      <c r="M21" s="323">
        <f t="shared" si="5"/>
        <v>0.9</v>
      </c>
      <c r="N21" s="323">
        <f t="shared" si="5"/>
        <v>0.9</v>
      </c>
      <c r="O21" s="323">
        <f t="shared" si="5"/>
        <v>0.9</v>
      </c>
      <c r="P21" s="323">
        <f t="shared" si="5"/>
        <v>0.9</v>
      </c>
      <c r="Q21" s="323">
        <f t="shared" si="5"/>
        <v>0.9</v>
      </c>
      <c r="R21" s="323">
        <f t="shared" si="5"/>
        <v>0.9</v>
      </c>
    </row>
    <row r="22" spans="2:23" x14ac:dyDescent="0.3">
      <c r="B22" s="4" t="s">
        <v>235</v>
      </c>
      <c r="G22" s="220">
        <f t="shared" ref="G22:R22" si="6">G18*G21</f>
        <v>2071.5600000000004</v>
      </c>
      <c r="H22" s="220">
        <f t="shared" si="6"/>
        <v>2100.8399999999997</v>
      </c>
      <c r="I22" s="220">
        <f t="shared" si="6"/>
        <v>2130.12</v>
      </c>
      <c r="J22" s="220">
        <f t="shared" si="6"/>
        <v>2159.4</v>
      </c>
      <c r="K22" s="220">
        <f t="shared" si="6"/>
        <v>2144.7600000000002</v>
      </c>
      <c r="L22" s="220">
        <f t="shared" si="6"/>
        <v>2163.06</v>
      </c>
      <c r="M22" s="220">
        <f t="shared" si="6"/>
        <v>2225.2800000000002</v>
      </c>
      <c r="N22" s="220">
        <f t="shared" si="6"/>
        <v>2199.66</v>
      </c>
      <c r="O22" s="220">
        <f t="shared" si="6"/>
        <v>2283.84</v>
      </c>
      <c r="P22" s="220">
        <f t="shared" si="6"/>
        <v>2292.9899999999998</v>
      </c>
      <c r="Q22" s="220">
        <f t="shared" si="6"/>
        <v>2236.2600000000002</v>
      </c>
      <c r="R22" s="220">
        <f t="shared" si="6"/>
        <v>2245.4100000000003</v>
      </c>
    </row>
    <row r="23" spans="2:23" x14ac:dyDescent="0.3">
      <c r="B23" s="4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</row>
    <row r="24" spans="2:23" ht="15" customHeight="1" x14ac:dyDescent="0.3">
      <c r="B24" s="25"/>
      <c r="C24" s="329"/>
      <c r="D24" s="329"/>
      <c r="E24" s="329"/>
      <c r="F24" s="329"/>
      <c r="G24" s="386" t="s">
        <v>282</v>
      </c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29"/>
      <c r="T24" s="329"/>
      <c r="U24" s="329"/>
      <c r="V24" s="329"/>
      <c r="W24" s="329"/>
    </row>
    <row r="25" spans="2:23" x14ac:dyDescent="0.3">
      <c r="B25" s="344" t="s">
        <v>337</v>
      </c>
      <c r="C25" s="342" t="s">
        <v>260</v>
      </c>
      <c r="D25">
        <v>135</v>
      </c>
      <c r="G25" s="323">
        <f>G26/G22</f>
        <v>0.06</v>
      </c>
      <c r="H25" s="323">
        <f t="shared" ref="H25:R25" si="7">H26/H22</f>
        <v>0.06</v>
      </c>
      <c r="I25" s="323">
        <f t="shared" si="7"/>
        <v>0.06</v>
      </c>
      <c r="J25" s="323">
        <f t="shared" si="7"/>
        <v>5.9999999999999991E-2</v>
      </c>
      <c r="K25" s="323">
        <f t="shared" si="7"/>
        <v>6.0000000000000005E-2</v>
      </c>
      <c r="L25" s="323">
        <f t="shared" si="7"/>
        <v>5.9999999999999991E-2</v>
      </c>
      <c r="M25" s="323">
        <f t="shared" si="7"/>
        <v>6.0000000000000005E-2</v>
      </c>
      <c r="N25" s="323">
        <f t="shared" si="7"/>
        <v>5.9999999999999991E-2</v>
      </c>
      <c r="O25" s="323">
        <f t="shared" si="7"/>
        <v>6.0000000000000005E-2</v>
      </c>
      <c r="P25" s="323">
        <f t="shared" si="7"/>
        <v>6.0000000000000005E-2</v>
      </c>
      <c r="Q25" s="323">
        <f t="shared" si="7"/>
        <v>0.06</v>
      </c>
      <c r="R25" s="323">
        <f t="shared" si="7"/>
        <v>0.06</v>
      </c>
    </row>
    <row r="26" spans="2:23" x14ac:dyDescent="0.3">
      <c r="B26" s="344"/>
      <c r="C26" s="342"/>
      <c r="F26" t="s">
        <v>307</v>
      </c>
      <c r="G26" s="221">
        <v>124.29360000000003</v>
      </c>
      <c r="H26" s="221">
        <v>126.05039999999998</v>
      </c>
      <c r="I26" s="221">
        <v>127.80719999999999</v>
      </c>
      <c r="J26" s="221">
        <v>129.56399999999999</v>
      </c>
      <c r="K26" s="221">
        <v>128.68560000000002</v>
      </c>
      <c r="L26" s="221">
        <v>129.78359999999998</v>
      </c>
      <c r="M26" s="221">
        <v>133.51680000000002</v>
      </c>
      <c r="N26" s="221">
        <v>131.97959999999998</v>
      </c>
      <c r="O26" s="221">
        <v>137.03040000000001</v>
      </c>
      <c r="P26" s="221">
        <v>137.57939999999999</v>
      </c>
      <c r="Q26" s="221">
        <v>134.1756</v>
      </c>
      <c r="R26" s="221">
        <v>134.72460000000001</v>
      </c>
    </row>
    <row r="27" spans="2:23" x14ac:dyDescent="0.3">
      <c r="B27" s="344"/>
      <c r="C27" s="342"/>
      <c r="D27" s="388" t="s">
        <v>308</v>
      </c>
      <c r="E27" s="388"/>
      <c r="F27" s="388"/>
      <c r="G27" s="320">
        <f t="shared" ref="G27:R27" si="8">IF($B25&gt;" ", G26*$D25," ")</f>
        <v>16779.636000000002</v>
      </c>
      <c r="H27" s="320">
        <f t="shared" si="8"/>
        <v>17016.803999999996</v>
      </c>
      <c r="I27" s="320">
        <f t="shared" si="8"/>
        <v>17253.971999999998</v>
      </c>
      <c r="J27" s="320">
        <f t="shared" si="8"/>
        <v>17491.14</v>
      </c>
      <c r="K27" s="320">
        <f t="shared" si="8"/>
        <v>17372.556000000004</v>
      </c>
      <c r="L27" s="320">
        <f t="shared" si="8"/>
        <v>17520.785999999996</v>
      </c>
      <c r="M27" s="320">
        <f t="shared" si="8"/>
        <v>18024.768000000004</v>
      </c>
      <c r="N27" s="320">
        <f t="shared" si="8"/>
        <v>17817.245999999996</v>
      </c>
      <c r="O27" s="320">
        <f t="shared" si="8"/>
        <v>18499.104000000003</v>
      </c>
      <c r="P27" s="320">
        <f t="shared" si="8"/>
        <v>18573.218999999997</v>
      </c>
      <c r="Q27" s="320">
        <f t="shared" si="8"/>
        <v>18113.706000000002</v>
      </c>
      <c r="R27" s="320">
        <f t="shared" si="8"/>
        <v>18187.821</v>
      </c>
    </row>
    <row r="28" spans="2:23" x14ac:dyDescent="0.3">
      <c r="B28" s="344" t="s">
        <v>338</v>
      </c>
      <c r="C28" s="342" t="s">
        <v>260</v>
      </c>
      <c r="D28">
        <v>95</v>
      </c>
      <c r="G28" s="337">
        <f>G29/G22</f>
        <v>5.9858271061422295E-2</v>
      </c>
      <c r="H28" s="337">
        <f t="shared" ref="H28:R28" si="9">H29/H22</f>
        <v>5.9976009596161547E-2</v>
      </c>
      <c r="I28" s="337">
        <f t="shared" si="9"/>
        <v>6.0090511332694878E-2</v>
      </c>
      <c r="J28" s="337">
        <f t="shared" si="9"/>
        <v>6.0201907937390012E-2</v>
      </c>
      <c r="K28" s="337">
        <f t="shared" si="9"/>
        <v>6.0146589828232525E-2</v>
      </c>
      <c r="L28" s="337">
        <f t="shared" si="9"/>
        <v>6.0100043456954501E-2</v>
      </c>
      <c r="M28" s="337">
        <f t="shared" si="9"/>
        <v>6.0217141213689956E-2</v>
      </c>
      <c r="N28" s="337">
        <f t="shared" si="9"/>
        <v>6.0009274160552087E-2</v>
      </c>
      <c r="O28" s="337">
        <f t="shared" si="9"/>
        <v>5.9986689085049734E-2</v>
      </c>
      <c r="P28" s="337">
        <f t="shared" si="9"/>
        <v>6.0183428623761991E-2</v>
      </c>
      <c r="Q28" s="337">
        <f t="shared" si="9"/>
        <v>5.9921476035881334E-2</v>
      </c>
      <c r="R28" s="337">
        <f t="shared" si="9"/>
        <v>6.0122650206421088E-2</v>
      </c>
    </row>
    <row r="29" spans="2:23" x14ac:dyDescent="0.3">
      <c r="B29" s="344"/>
      <c r="C29" s="342"/>
      <c r="F29" t="s">
        <v>307</v>
      </c>
      <c r="G29" s="330">
        <v>124</v>
      </c>
      <c r="H29" s="330">
        <v>126</v>
      </c>
      <c r="I29" s="330">
        <v>128</v>
      </c>
      <c r="J29" s="330">
        <v>130</v>
      </c>
      <c r="K29" s="330">
        <v>129</v>
      </c>
      <c r="L29" s="330">
        <v>130</v>
      </c>
      <c r="M29" s="330">
        <v>134</v>
      </c>
      <c r="N29" s="330">
        <v>132</v>
      </c>
      <c r="O29" s="330">
        <v>137</v>
      </c>
      <c r="P29" s="330">
        <v>138</v>
      </c>
      <c r="Q29" s="330">
        <v>134</v>
      </c>
      <c r="R29" s="330">
        <v>135</v>
      </c>
    </row>
    <row r="30" spans="2:23" x14ac:dyDescent="0.3">
      <c r="B30" s="344"/>
      <c r="C30" s="342"/>
      <c r="D30" s="388" t="s">
        <v>308</v>
      </c>
      <c r="E30" s="388"/>
      <c r="F30" s="388"/>
      <c r="G30" s="320">
        <f t="shared" ref="G30:R30" si="10">IF($B28&gt;" ", G29*$D28," ")</f>
        <v>11780</v>
      </c>
      <c r="H30" s="320">
        <f t="shared" si="10"/>
        <v>11970</v>
      </c>
      <c r="I30" s="320">
        <f t="shared" si="10"/>
        <v>12160</v>
      </c>
      <c r="J30" s="320">
        <f t="shared" si="10"/>
        <v>12350</v>
      </c>
      <c r="K30" s="320">
        <f t="shared" si="10"/>
        <v>12255</v>
      </c>
      <c r="L30" s="320">
        <f t="shared" si="10"/>
        <v>12350</v>
      </c>
      <c r="M30" s="320">
        <f t="shared" si="10"/>
        <v>12730</v>
      </c>
      <c r="N30" s="320">
        <f t="shared" si="10"/>
        <v>12540</v>
      </c>
      <c r="O30" s="320">
        <f t="shared" si="10"/>
        <v>13015</v>
      </c>
      <c r="P30" s="320">
        <f t="shared" si="10"/>
        <v>13110</v>
      </c>
      <c r="Q30" s="320">
        <f t="shared" si="10"/>
        <v>12730</v>
      </c>
      <c r="R30" s="320">
        <f t="shared" si="10"/>
        <v>12825</v>
      </c>
    </row>
    <row r="31" spans="2:23" x14ac:dyDescent="0.3">
      <c r="B31" s="344" t="s">
        <v>339</v>
      </c>
      <c r="C31" s="342" t="s">
        <v>260</v>
      </c>
      <c r="D31">
        <v>115</v>
      </c>
      <c r="G31" s="337">
        <f>G32/G22</f>
        <v>0.12019927011527543</v>
      </c>
      <c r="H31" s="337">
        <f t="shared" ref="H31:R31" si="11">H32/H22</f>
        <v>0.11995201919232309</v>
      </c>
      <c r="I31" s="337">
        <f t="shared" si="11"/>
        <v>0.12018102266538976</v>
      </c>
      <c r="J31" s="337">
        <f t="shared" si="11"/>
        <v>0.11994072427526165</v>
      </c>
      <c r="K31" s="337">
        <f t="shared" si="11"/>
        <v>0.11982692702213767</v>
      </c>
      <c r="L31" s="337">
        <f t="shared" si="11"/>
        <v>0.120200086913909</v>
      </c>
      <c r="M31" s="337">
        <f t="shared" si="11"/>
        <v>0.11998490077653148</v>
      </c>
      <c r="N31" s="337">
        <f t="shared" si="11"/>
        <v>0.12001854832110417</v>
      </c>
      <c r="O31" s="337">
        <f t="shared" si="11"/>
        <v>0.11997337817009947</v>
      </c>
      <c r="P31" s="337">
        <f t="shared" si="11"/>
        <v>0.11993074544590253</v>
      </c>
      <c r="Q31" s="337">
        <f t="shared" si="11"/>
        <v>0.11984295207176267</v>
      </c>
      <c r="R31" s="337">
        <f t="shared" si="11"/>
        <v>0.11979994744835018</v>
      </c>
    </row>
    <row r="32" spans="2:23" x14ac:dyDescent="0.3">
      <c r="B32" s="344"/>
      <c r="C32" s="342"/>
      <c r="F32" t="s">
        <v>307</v>
      </c>
      <c r="G32" s="330">
        <v>249</v>
      </c>
      <c r="H32" s="330">
        <v>252</v>
      </c>
      <c r="I32" s="330">
        <v>256</v>
      </c>
      <c r="J32" s="330">
        <v>259</v>
      </c>
      <c r="K32" s="330">
        <v>257</v>
      </c>
      <c r="L32" s="330">
        <v>260</v>
      </c>
      <c r="M32" s="330">
        <v>267</v>
      </c>
      <c r="N32" s="330">
        <v>264</v>
      </c>
      <c r="O32" s="330">
        <v>274</v>
      </c>
      <c r="P32" s="330">
        <v>275</v>
      </c>
      <c r="Q32" s="330">
        <v>268</v>
      </c>
      <c r="R32" s="330">
        <v>269</v>
      </c>
    </row>
    <row r="33" spans="2:24" x14ac:dyDescent="0.3">
      <c r="B33" s="344"/>
      <c r="C33" s="342"/>
      <c r="D33" s="388" t="s">
        <v>308</v>
      </c>
      <c r="E33" s="388"/>
      <c r="F33" s="388"/>
      <c r="G33" s="320">
        <f t="shared" ref="G33:R33" si="12">IF($B31&gt;" ", G32*$D31," ")</f>
        <v>28635</v>
      </c>
      <c r="H33" s="320">
        <f t="shared" si="12"/>
        <v>28980</v>
      </c>
      <c r="I33" s="320">
        <f t="shared" si="12"/>
        <v>29440</v>
      </c>
      <c r="J33" s="320">
        <f t="shared" si="12"/>
        <v>29785</v>
      </c>
      <c r="K33" s="320">
        <f t="shared" si="12"/>
        <v>29555</v>
      </c>
      <c r="L33" s="320">
        <f t="shared" si="12"/>
        <v>29900</v>
      </c>
      <c r="M33" s="320">
        <f t="shared" si="12"/>
        <v>30705</v>
      </c>
      <c r="N33" s="320">
        <f t="shared" si="12"/>
        <v>30360</v>
      </c>
      <c r="O33" s="320">
        <f t="shared" si="12"/>
        <v>31510</v>
      </c>
      <c r="P33" s="320">
        <f t="shared" si="12"/>
        <v>31625</v>
      </c>
      <c r="Q33" s="320">
        <f t="shared" si="12"/>
        <v>30820</v>
      </c>
      <c r="R33" s="320">
        <f t="shared" si="12"/>
        <v>30935</v>
      </c>
    </row>
    <row r="34" spans="2:24" x14ac:dyDescent="0.3">
      <c r="B34" s="344" t="s">
        <v>340</v>
      </c>
      <c r="C34" s="342" t="s">
        <v>260</v>
      </c>
      <c r="D34">
        <v>260</v>
      </c>
      <c r="G34" s="337">
        <f>G35/G22</f>
        <v>0.2799822356098785</v>
      </c>
      <c r="H34" s="337">
        <f t="shared" ref="H34:R34" si="13">H35/H22</f>
        <v>0.27988804478208723</v>
      </c>
      <c r="I34" s="337">
        <f t="shared" si="13"/>
        <v>0.27604078643456709</v>
      </c>
      <c r="J34" s="337">
        <f t="shared" si="13"/>
        <v>0.27229786051681021</v>
      </c>
      <c r="K34" s="337">
        <f t="shared" si="13"/>
        <v>0.2750890542531565</v>
      </c>
      <c r="L34" s="337">
        <f t="shared" si="13"/>
        <v>0.27276173568925505</v>
      </c>
      <c r="M34" s="337">
        <f t="shared" si="13"/>
        <v>0.26513517400057518</v>
      </c>
      <c r="N34" s="337">
        <f t="shared" si="13"/>
        <v>0.27186019657583449</v>
      </c>
      <c r="O34" s="337">
        <f t="shared" si="13"/>
        <v>0.26227756760543647</v>
      </c>
      <c r="P34" s="337">
        <f t="shared" si="13"/>
        <v>0.26166708097287822</v>
      </c>
      <c r="Q34" s="337">
        <f t="shared" si="13"/>
        <v>0.26875229177287074</v>
      </c>
      <c r="R34" s="337">
        <f t="shared" si="13"/>
        <v>0.27032924944664888</v>
      </c>
    </row>
    <row r="35" spans="2:24" ht="13.2" customHeight="1" x14ac:dyDescent="0.3">
      <c r="B35" s="344"/>
      <c r="C35" s="342"/>
      <c r="F35" t="s">
        <v>307</v>
      </c>
      <c r="G35" s="330">
        <v>580</v>
      </c>
      <c r="H35" s="330">
        <v>588</v>
      </c>
      <c r="I35" s="330">
        <v>588</v>
      </c>
      <c r="J35" s="330">
        <v>588</v>
      </c>
      <c r="K35" s="330">
        <v>590</v>
      </c>
      <c r="L35" s="330">
        <v>590</v>
      </c>
      <c r="M35" s="330">
        <v>590</v>
      </c>
      <c r="N35" s="330">
        <v>598</v>
      </c>
      <c r="O35" s="330">
        <v>599</v>
      </c>
      <c r="P35" s="330">
        <v>600</v>
      </c>
      <c r="Q35" s="330">
        <v>601</v>
      </c>
      <c r="R35" s="330">
        <v>607</v>
      </c>
    </row>
    <row r="36" spans="2:24" ht="13.2" customHeight="1" x14ac:dyDescent="0.3">
      <c r="B36" s="344"/>
      <c r="C36" s="342"/>
      <c r="D36" s="388" t="s">
        <v>308</v>
      </c>
      <c r="E36" s="388"/>
      <c r="F36" s="388"/>
      <c r="G36" s="140">
        <f t="shared" ref="G36:R36" si="14">IF($B34&gt;" ", G35*$D34," ")</f>
        <v>150800</v>
      </c>
      <c r="H36" s="140">
        <f t="shared" si="14"/>
        <v>152880</v>
      </c>
      <c r="I36" s="140">
        <f t="shared" si="14"/>
        <v>152880</v>
      </c>
      <c r="J36" s="140">
        <f t="shared" si="14"/>
        <v>152880</v>
      </c>
      <c r="K36" s="140">
        <f t="shared" si="14"/>
        <v>153400</v>
      </c>
      <c r="L36" s="140">
        <f t="shared" si="14"/>
        <v>153400</v>
      </c>
      <c r="M36" s="140">
        <f t="shared" si="14"/>
        <v>153400</v>
      </c>
      <c r="N36" s="140">
        <f t="shared" si="14"/>
        <v>155480</v>
      </c>
      <c r="O36" s="140">
        <f t="shared" si="14"/>
        <v>155740</v>
      </c>
      <c r="P36" s="140">
        <f t="shared" si="14"/>
        <v>156000</v>
      </c>
      <c r="Q36" s="140">
        <f t="shared" si="14"/>
        <v>156260</v>
      </c>
      <c r="R36" s="140">
        <f t="shared" si="14"/>
        <v>157820</v>
      </c>
    </row>
    <row r="37" spans="2:24" x14ac:dyDescent="0.3">
      <c r="B37" s="344" t="s">
        <v>341</v>
      </c>
      <c r="C37" s="342" t="s">
        <v>260</v>
      </c>
      <c r="D37">
        <v>340</v>
      </c>
      <c r="G37" s="337">
        <v>0.48</v>
      </c>
      <c r="H37" s="337">
        <v>0.48</v>
      </c>
      <c r="I37" s="337">
        <v>0.48</v>
      </c>
      <c r="J37" s="337">
        <v>0.48</v>
      </c>
      <c r="K37" s="337">
        <v>0.48</v>
      </c>
      <c r="L37" s="337">
        <v>0.48</v>
      </c>
      <c r="M37" s="337">
        <v>0.48</v>
      </c>
      <c r="N37" s="337">
        <v>0.48</v>
      </c>
      <c r="O37" s="337">
        <v>0.48</v>
      </c>
      <c r="P37" s="337">
        <v>0.48</v>
      </c>
      <c r="Q37" s="337">
        <v>0.48</v>
      </c>
      <c r="R37" s="337">
        <v>0.48</v>
      </c>
    </row>
    <row r="38" spans="2:24" x14ac:dyDescent="0.3">
      <c r="B38" s="4"/>
      <c r="F38" t="s">
        <v>307</v>
      </c>
      <c r="G38" s="220">
        <f t="shared" ref="G38:R38" si="15">G22*G37</f>
        <v>994.34880000000021</v>
      </c>
      <c r="H38" s="220">
        <f t="shared" si="15"/>
        <v>1008.4031999999999</v>
      </c>
      <c r="I38" s="220">
        <f t="shared" si="15"/>
        <v>1022.4576</v>
      </c>
      <c r="J38" s="220">
        <f t="shared" si="15"/>
        <v>1036.5119999999999</v>
      </c>
      <c r="K38" s="220">
        <f t="shared" si="15"/>
        <v>1029.4848000000002</v>
      </c>
      <c r="L38" s="220">
        <f t="shared" si="15"/>
        <v>1038.2687999999998</v>
      </c>
      <c r="M38" s="220">
        <f t="shared" si="15"/>
        <v>1068.1344000000001</v>
      </c>
      <c r="N38" s="220">
        <f t="shared" si="15"/>
        <v>1055.8367999999998</v>
      </c>
      <c r="O38" s="220">
        <f t="shared" si="15"/>
        <v>1096.2432000000001</v>
      </c>
      <c r="P38" s="220">
        <f t="shared" si="15"/>
        <v>1100.6351999999999</v>
      </c>
      <c r="Q38" s="220">
        <f t="shared" si="15"/>
        <v>1073.4048</v>
      </c>
      <c r="R38" s="220">
        <f t="shared" si="15"/>
        <v>1077.7968000000001</v>
      </c>
    </row>
    <row r="39" spans="2:24" x14ac:dyDescent="0.3">
      <c r="B39" s="4"/>
      <c r="D39" s="388" t="s">
        <v>308</v>
      </c>
      <c r="E39" s="388"/>
      <c r="F39" s="388"/>
      <c r="G39" s="320">
        <f t="shared" ref="G39:R39" si="16">IF($B37&gt;" ", G38*$D37," ")</f>
        <v>338078.59200000006</v>
      </c>
      <c r="H39" s="320">
        <f t="shared" si="16"/>
        <v>342857.08799999993</v>
      </c>
      <c r="I39" s="320">
        <f t="shared" si="16"/>
        <v>347635.58399999997</v>
      </c>
      <c r="J39" s="320">
        <f t="shared" si="16"/>
        <v>352414.07999999996</v>
      </c>
      <c r="K39" s="320">
        <f t="shared" si="16"/>
        <v>350024.83200000005</v>
      </c>
      <c r="L39" s="320">
        <f t="shared" si="16"/>
        <v>353011.39199999993</v>
      </c>
      <c r="M39" s="320">
        <f t="shared" si="16"/>
        <v>363165.69600000005</v>
      </c>
      <c r="N39" s="320">
        <f t="shared" si="16"/>
        <v>358984.51199999993</v>
      </c>
      <c r="O39" s="320">
        <f t="shared" si="16"/>
        <v>372722.68800000002</v>
      </c>
      <c r="P39" s="320">
        <f t="shared" si="16"/>
        <v>374215.96799999999</v>
      </c>
      <c r="Q39" s="320">
        <f t="shared" si="16"/>
        <v>364957.63199999998</v>
      </c>
      <c r="R39" s="320">
        <f t="shared" si="16"/>
        <v>366450.91200000001</v>
      </c>
    </row>
    <row r="40" spans="2:24" ht="13.2" customHeight="1" x14ac:dyDescent="0.3">
      <c r="B40" s="338"/>
      <c r="C40" s="333"/>
      <c r="D40" s="333"/>
      <c r="E40" s="333"/>
      <c r="F40" s="333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214"/>
      <c r="T40" s="214"/>
      <c r="U40" s="214"/>
      <c r="V40" s="214"/>
      <c r="W40" s="214"/>
    </row>
    <row r="41" spans="2:24" ht="13.2" customHeight="1" x14ac:dyDescent="0.3">
      <c r="G41" s="21"/>
      <c r="H41" s="21"/>
      <c r="I41" s="21"/>
      <c r="J41" s="21"/>
      <c r="K41" s="21"/>
      <c r="L41" s="21"/>
    </row>
    <row r="42" spans="2:24" s="13" customFormat="1" x14ac:dyDescent="0.3">
      <c r="B42" s="339"/>
      <c r="C42" s="203"/>
      <c r="D42" s="340"/>
      <c r="G42" s="339" t="s">
        <v>19</v>
      </c>
      <c r="H42" s="203"/>
      <c r="I42" s="203"/>
      <c r="J42" s="203"/>
      <c r="K42" s="340"/>
      <c r="M42" s="383" t="s">
        <v>245</v>
      </c>
      <c r="N42" s="383"/>
      <c r="O42" s="383"/>
      <c r="P42" s="383"/>
      <c r="Q42" s="383"/>
      <c r="R42" s="383"/>
      <c r="S42" s="383" t="s">
        <v>246</v>
      </c>
      <c r="T42" s="383"/>
      <c r="U42" s="383"/>
      <c r="V42" s="383"/>
      <c r="W42" s="383"/>
    </row>
    <row r="43" spans="2:24" x14ac:dyDescent="0.3">
      <c r="B43" s="4" t="s">
        <v>0</v>
      </c>
      <c r="D43" s="5"/>
      <c r="G43" s="4">
        <v>2023</v>
      </c>
      <c r="H43">
        <v>2024</v>
      </c>
      <c r="I43">
        <v>2025</v>
      </c>
      <c r="J43">
        <v>2026</v>
      </c>
      <c r="K43" s="5">
        <v>2027</v>
      </c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13"/>
    </row>
    <row r="44" spans="2:24" x14ac:dyDescent="0.3">
      <c r="B44" s="4" t="s">
        <v>119</v>
      </c>
      <c r="D44" s="5"/>
      <c r="G44" s="18">
        <f>'IS 2024'!U17</f>
        <v>4830841</v>
      </c>
      <c r="H44" s="1">
        <f>'IS 2025'!U17</f>
        <v>6860174.7340000002</v>
      </c>
      <c r="I44" s="1">
        <f>'IS 2026'!U17</f>
        <v>7601190</v>
      </c>
      <c r="J44" s="1">
        <f>'IS 2027'!U17</f>
        <v>11288870</v>
      </c>
      <c r="K44" s="194">
        <f>'IS 2028'!U17</f>
        <v>12737175</v>
      </c>
      <c r="L44" s="1"/>
    </row>
    <row r="45" spans="2:24" x14ac:dyDescent="0.3">
      <c r="B45" s="4" t="s">
        <v>3</v>
      </c>
      <c r="D45" s="5"/>
      <c r="G45" s="18">
        <f>'IS 2024'!U18</f>
        <v>-124680</v>
      </c>
      <c r="H45" s="1">
        <f>'IS 2025'!U18</f>
        <v>-124680</v>
      </c>
      <c r="I45" s="1">
        <f>'IS 2026'!U18</f>
        <v>103320</v>
      </c>
      <c r="J45" s="1">
        <f>'IS 2027'!U18</f>
        <v>-390528</v>
      </c>
      <c r="K45" s="194">
        <f>'IS 2028'!U18</f>
        <v>-449528</v>
      </c>
      <c r="L45" s="1"/>
    </row>
    <row r="46" spans="2:24" x14ac:dyDescent="0.3">
      <c r="B46" s="4" t="s">
        <v>4</v>
      </c>
      <c r="D46" s="5"/>
      <c r="G46" s="18">
        <f>G44-G45-G48-G49-G50</f>
        <v>5130697</v>
      </c>
      <c r="H46" s="1">
        <f>H44-H45-H48-H49-H50</f>
        <v>7160030.7340000002</v>
      </c>
      <c r="I46" s="1">
        <f>I44-I45-I48-I49-I50</f>
        <v>8165046</v>
      </c>
      <c r="J46" s="1">
        <f>J44-J45-J48-J49-J50</f>
        <v>12652476</v>
      </c>
      <c r="K46" s="194">
        <f>K44-K45-K48-K49-K50</f>
        <v>14159781</v>
      </c>
      <c r="L46" s="1"/>
    </row>
    <row r="47" spans="2:24" x14ac:dyDescent="0.3">
      <c r="B47" s="4" t="s">
        <v>30</v>
      </c>
      <c r="D47" s="5"/>
      <c r="G47" s="195">
        <f>G46/G44</f>
        <v>1.0620711797386833</v>
      </c>
      <c r="H47" s="19">
        <f>H46/H44</f>
        <v>1.0437096738241769</v>
      </c>
      <c r="I47" s="19">
        <f>I46/I44</f>
        <v>1.0741799639267009</v>
      </c>
      <c r="J47" s="19">
        <f>J46/J44</f>
        <v>1.1207920721914593</v>
      </c>
      <c r="K47" s="196">
        <f>K46/K44</f>
        <v>1.1116892874597388</v>
      </c>
      <c r="L47" s="19"/>
    </row>
    <row r="48" spans="2:24" x14ac:dyDescent="0.3">
      <c r="B48" s="4" t="s">
        <v>5</v>
      </c>
      <c r="D48" s="5"/>
      <c r="G48" s="18">
        <f>'IS 2024'!U39</f>
        <v>-48756</v>
      </c>
      <c r="H48" s="1">
        <f>'IS 2025'!U40</f>
        <v>-48756</v>
      </c>
      <c r="I48" s="1">
        <f>'IS 2026'!U39</f>
        <v>-540756</v>
      </c>
      <c r="J48" s="1">
        <f>'IS 2027'!U38</f>
        <v>-540756</v>
      </c>
      <c r="K48" s="194">
        <f>'IS 2028'!U38</f>
        <v>-540756</v>
      </c>
      <c r="L48" s="1"/>
    </row>
    <row r="49" spans="2:12" x14ac:dyDescent="0.3">
      <c r="B49" s="4" t="s">
        <v>6</v>
      </c>
      <c r="D49" s="5"/>
      <c r="G49" s="18">
        <f>'IS 2024'!U38</f>
        <v>-27420</v>
      </c>
      <c r="H49" s="1">
        <f>'IS 2025'!U39</f>
        <v>-27420</v>
      </c>
      <c r="I49" s="1">
        <f>'IS 2026'!U38</f>
        <v>-27420</v>
      </c>
      <c r="J49" s="1">
        <f>'IS 2027'!U37</f>
        <v>-333322</v>
      </c>
      <c r="K49" s="194">
        <f>'IS 2028'!U37</f>
        <v>-333322</v>
      </c>
      <c r="L49" s="1"/>
    </row>
    <row r="50" spans="2:12" x14ac:dyDescent="0.3">
      <c r="B50" s="4" t="s">
        <v>7</v>
      </c>
      <c r="D50" s="5"/>
      <c r="G50" s="18">
        <f>'IS 2024'!U58</f>
        <v>-99000</v>
      </c>
      <c r="H50" s="1">
        <f>'IS 2025'!U59</f>
        <v>-99000</v>
      </c>
      <c r="I50" s="1">
        <f>'IS 2026'!U58</f>
        <v>-99000</v>
      </c>
      <c r="J50" s="1">
        <f>'IS 2027'!U56</f>
        <v>-99000</v>
      </c>
      <c r="K50" s="194">
        <f>'IS 2028'!U56</f>
        <v>-99000</v>
      </c>
      <c r="L50" s="1"/>
    </row>
    <row r="51" spans="2:12" x14ac:dyDescent="0.3">
      <c r="B51" s="4" t="s">
        <v>8</v>
      </c>
      <c r="D51" s="5"/>
      <c r="G51" s="18">
        <f>G60/G44*100</f>
        <v>75.841717829255813</v>
      </c>
      <c r="H51" s="1">
        <f>G60/G44*100</f>
        <v>75.841717829255813</v>
      </c>
      <c r="I51" s="1">
        <f>G60/G44*100</f>
        <v>75.841717829255813</v>
      </c>
      <c r="J51" s="1">
        <f>J60/J44*100</f>
        <v>74.168769770579345</v>
      </c>
      <c r="K51" s="194">
        <f>K60/K44*100</f>
        <v>74.461252200743104</v>
      </c>
      <c r="L51" s="1"/>
    </row>
    <row r="52" spans="2:12" x14ac:dyDescent="0.3">
      <c r="B52" s="4" t="s">
        <v>9</v>
      </c>
      <c r="D52" s="5"/>
      <c r="G52" s="195">
        <f>G60/G44</f>
        <v>0.75841717829255817</v>
      </c>
      <c r="H52" s="19">
        <f>H60/H44</f>
        <v>0.77071794702190144</v>
      </c>
      <c r="I52" s="19">
        <f>I60/I44</f>
        <v>0.79756880172709799</v>
      </c>
      <c r="J52" s="19">
        <f>J60/J44</f>
        <v>0.74168769770579346</v>
      </c>
      <c r="K52" s="196">
        <f>K60/K44</f>
        <v>0.74461252200743111</v>
      </c>
      <c r="L52" s="19"/>
    </row>
    <row r="53" spans="2:12" x14ac:dyDescent="0.3">
      <c r="B53" s="4" t="s">
        <v>10</v>
      </c>
      <c r="D53" s="5"/>
      <c r="G53" s="18">
        <f>'IS 2024'!U59</f>
        <v>4579741</v>
      </c>
      <c r="H53" s="1">
        <f>'IS 2025'!U60</f>
        <v>6609074.7340000002</v>
      </c>
      <c r="I53" s="1">
        <f>'IS 2026'!U59</f>
        <v>7578090</v>
      </c>
      <c r="J53" s="1">
        <f>'IS 2026'!U59</f>
        <v>7578090</v>
      </c>
      <c r="K53" s="194">
        <f>'IS 2028'!U57</f>
        <v>11855325</v>
      </c>
      <c r="L53" s="1"/>
    </row>
    <row r="54" spans="2:12" x14ac:dyDescent="0.3">
      <c r="B54" s="4" t="s">
        <v>22</v>
      </c>
      <c r="D54" s="5"/>
      <c r="G54" s="195">
        <f>G53/G44</f>
        <v>0.94802147286569771</v>
      </c>
      <c r="H54" s="19">
        <f>G53/G44</f>
        <v>0.94802147286569771</v>
      </c>
      <c r="I54" s="19">
        <f>G53/G44</f>
        <v>0.94802147286569771</v>
      </c>
      <c r="J54" s="19">
        <f>J53/J44</f>
        <v>0.67128862321915306</v>
      </c>
      <c r="K54" s="196">
        <f>K53/K44</f>
        <v>0.93076565250928878</v>
      </c>
      <c r="L54" s="19"/>
    </row>
    <row r="55" spans="2:12" x14ac:dyDescent="0.3">
      <c r="B55" s="4" t="s">
        <v>11</v>
      </c>
      <c r="D55" s="5"/>
      <c r="G55" s="18">
        <f>'IS 2024'!U60</f>
        <v>-20532</v>
      </c>
      <c r="H55" s="1">
        <f>'IS 2025'!U61</f>
        <v>-17800</v>
      </c>
      <c r="I55" s="1">
        <f>'IS 2026'!U60</f>
        <v>-21149</v>
      </c>
      <c r="J55" s="1">
        <f>'IS 2027'!U58</f>
        <v>-21537</v>
      </c>
      <c r="K55" s="194">
        <f>'IS 2028'!U58</f>
        <v>-21292</v>
      </c>
      <c r="L55" s="1"/>
    </row>
    <row r="56" spans="2:12" x14ac:dyDescent="0.3">
      <c r="B56" s="4" t="s">
        <v>12</v>
      </c>
      <c r="D56" s="5"/>
      <c r="G56" s="18">
        <f>'IS 2024'!U61</f>
        <v>4559209</v>
      </c>
      <c r="H56" s="1">
        <f>'IS 2025'!U62</f>
        <v>6591274.7340000002</v>
      </c>
      <c r="I56" s="1">
        <f>'IS 2026'!U61</f>
        <v>7588139</v>
      </c>
      <c r="J56" s="1">
        <f>'IS 2027'!U59</f>
        <v>10444483</v>
      </c>
      <c r="K56" s="194">
        <f>'IS 2028'!U59</f>
        <v>11834033</v>
      </c>
      <c r="L56" s="1"/>
    </row>
    <row r="57" spans="2:12" x14ac:dyDescent="0.3">
      <c r="B57" s="4" t="s">
        <v>13</v>
      </c>
      <c r="D57" s="5"/>
      <c r="G57" s="18">
        <f>'IS 2024'!U62</f>
        <v>-1098002.4000000001</v>
      </c>
      <c r="H57" s="1">
        <f>'IS 2025'!U63</f>
        <v>-613644</v>
      </c>
      <c r="I57" s="1">
        <f>'IS 2026'!U62</f>
        <v>-104689.20000000001</v>
      </c>
      <c r="J57" s="1">
        <f>'IS 2027'!U60</f>
        <v>0</v>
      </c>
      <c r="K57" s="194">
        <f>'IS 2028'!U60</f>
        <v>0</v>
      </c>
      <c r="L57" s="1"/>
    </row>
    <row r="58" spans="2:12" x14ac:dyDescent="0.3">
      <c r="B58" s="4" t="s">
        <v>14</v>
      </c>
      <c r="D58" s="5"/>
      <c r="G58" s="18">
        <f>'IS 2024'!U63</f>
        <v>4579741</v>
      </c>
      <c r="H58" s="1">
        <f>'IS 2025'!U64</f>
        <v>6609074.7340000002</v>
      </c>
      <c r="I58" s="1">
        <f>'IS 2026'!U63</f>
        <v>7578090</v>
      </c>
      <c r="J58" s="1">
        <f>'IS 2027'!U61</f>
        <v>10466020</v>
      </c>
      <c r="K58" s="194">
        <f>'IS 2028'!U61</f>
        <v>11855325</v>
      </c>
      <c r="L58" s="1"/>
    </row>
    <row r="59" spans="2:12" x14ac:dyDescent="0.3">
      <c r="B59" s="4" t="s">
        <v>15</v>
      </c>
      <c r="D59" s="5"/>
      <c r="G59" s="18">
        <f>'IS 2024'!U64</f>
        <v>-915948.2</v>
      </c>
      <c r="H59" s="1">
        <f>'IS 2025'!U65</f>
        <v>-1321814.9468</v>
      </c>
      <c r="I59" s="1">
        <f>'IS 2026'!U64</f>
        <v>-1515618</v>
      </c>
      <c r="J59" s="1">
        <f>'IS 2027'!U62</f>
        <v>-2093204.0000000005</v>
      </c>
      <c r="K59" s="194">
        <f>'IS 2028'!U62</f>
        <v>-2371065.0000000005</v>
      </c>
      <c r="L59" s="1"/>
    </row>
    <row r="60" spans="2:12" x14ac:dyDescent="0.3">
      <c r="B60" s="4" t="s">
        <v>16</v>
      </c>
      <c r="D60" s="5"/>
      <c r="G60" s="18">
        <f>'IS 2024'!U65</f>
        <v>3663792.8</v>
      </c>
      <c r="H60" s="1">
        <f>'IS 2025'!U66</f>
        <v>5287259.7871999992</v>
      </c>
      <c r="I60" s="1">
        <f>'IS 2026'!U65</f>
        <v>6062472</v>
      </c>
      <c r="J60" s="1">
        <f>'IS 2027'!U63</f>
        <v>8372816.0000000009</v>
      </c>
      <c r="K60" s="194">
        <f>'IS 2028'!U63</f>
        <v>9484260.0000000019</v>
      </c>
      <c r="L60" s="1"/>
    </row>
    <row r="61" spans="2:12" x14ac:dyDescent="0.3">
      <c r="B61" s="4" t="s">
        <v>17</v>
      </c>
      <c r="D61" s="5"/>
      <c r="G61" s="195">
        <f>G60/G44</f>
        <v>0.75841717829255817</v>
      </c>
      <c r="H61" s="19">
        <f>H60/H44</f>
        <v>0.77071794702190144</v>
      </c>
      <c r="I61" s="19">
        <f>I60/I44</f>
        <v>0.79756880172709799</v>
      </c>
      <c r="J61" s="19">
        <f>J60/J44</f>
        <v>0.74168769770579346</v>
      </c>
      <c r="K61" s="196">
        <f>K60/K44</f>
        <v>0.74461252200743111</v>
      </c>
      <c r="L61" s="19"/>
    </row>
    <row r="62" spans="2:12" x14ac:dyDescent="0.3">
      <c r="B62" s="4" t="s">
        <v>148</v>
      </c>
      <c r="D62" s="5"/>
      <c r="G62" s="18">
        <f>G60-G50-G55</f>
        <v>3783324.8</v>
      </c>
      <c r="H62" s="1">
        <f>H60-H50-H55</f>
        <v>5404059.7871999992</v>
      </c>
      <c r="I62" s="1">
        <f>I60-I50-I55</f>
        <v>6182621</v>
      </c>
      <c r="J62" s="1">
        <f>J60-J50-J55</f>
        <v>8493353</v>
      </c>
      <c r="K62" s="194">
        <f>K60-K50-K55</f>
        <v>9604552.0000000019</v>
      </c>
      <c r="L62" s="1"/>
    </row>
    <row r="63" spans="2:12" x14ac:dyDescent="0.3">
      <c r="B63" s="6" t="s">
        <v>147</v>
      </c>
      <c r="C63" s="343"/>
      <c r="D63" s="7"/>
      <c r="G63" s="197">
        <f>G62-G48-G49-G50</f>
        <v>3958500.8</v>
      </c>
      <c r="H63" s="20">
        <f>H62-H48-H49-H50</f>
        <v>5579235.7871999992</v>
      </c>
      <c r="I63" s="20">
        <f>I62-I48-I49-I50</f>
        <v>6849797</v>
      </c>
      <c r="J63" s="20">
        <f>J62-J48-J49-J50</f>
        <v>9466431</v>
      </c>
      <c r="K63" s="198">
        <f>K62-K48-K49-K50</f>
        <v>10577630.000000002</v>
      </c>
      <c r="L63" s="1"/>
    </row>
    <row r="92" spans="7:18" x14ac:dyDescent="0.3">
      <c r="G92" s="3">
        <v>124.29360000000003</v>
      </c>
      <c r="H92" s="3">
        <v>126.05039999999998</v>
      </c>
      <c r="I92" s="3">
        <v>127.80719999999999</v>
      </c>
      <c r="J92" s="3">
        <v>129.56399999999999</v>
      </c>
      <c r="K92" s="3">
        <v>128.68560000000002</v>
      </c>
      <c r="L92" s="3">
        <v>129.78359999999998</v>
      </c>
      <c r="M92" s="3">
        <v>133.51680000000002</v>
      </c>
      <c r="N92" s="3">
        <v>131.97959999999998</v>
      </c>
      <c r="O92" s="3">
        <v>137.03040000000001</v>
      </c>
      <c r="P92" s="3">
        <v>137.57939999999999</v>
      </c>
      <c r="Q92" s="3">
        <v>134.1756</v>
      </c>
      <c r="R92" s="3">
        <v>134.72460000000001</v>
      </c>
    </row>
  </sheetData>
  <mergeCells count="10">
    <mergeCell ref="G6:R6"/>
    <mergeCell ref="M42:R42"/>
    <mergeCell ref="S42:W42"/>
    <mergeCell ref="G16:R16"/>
    <mergeCell ref="G24:R24"/>
    <mergeCell ref="D27:F27"/>
    <mergeCell ref="D30:F30"/>
    <mergeCell ref="D33:F33"/>
    <mergeCell ref="D36:F36"/>
    <mergeCell ref="D39:F39"/>
  </mergeCells>
  <conditionalFormatting sqref="G40:R40">
    <cfRule type="cellIs" dxfId="3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42E2-200B-4C2D-9772-0DA0AEA51B6A}">
  <sheetPr codeName="Sheet24"/>
  <dimension ref="A1:AP84"/>
  <sheetViews>
    <sheetView showGridLines="0" workbookViewId="0">
      <selection activeCell="C12" sqref="C12:C16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10.441406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144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0"/>
      <c r="B5" s="153" t="s">
        <v>176</v>
      </c>
      <c r="C5" s="150"/>
      <c r="D5" s="150"/>
      <c r="E5" s="150"/>
      <c r="F5" s="208">
        <v>2024</v>
      </c>
      <c r="G5" s="208">
        <v>2024</v>
      </c>
      <c r="H5" s="208">
        <v>2024</v>
      </c>
      <c r="I5" s="208">
        <v>2024</v>
      </c>
      <c r="J5" s="208">
        <v>2024</v>
      </c>
      <c r="K5" s="208">
        <v>2024</v>
      </c>
      <c r="L5" s="208">
        <v>2024</v>
      </c>
      <c r="M5" s="208">
        <v>2024</v>
      </c>
      <c r="N5" s="208">
        <v>2024</v>
      </c>
      <c r="O5" s="208">
        <v>2024</v>
      </c>
      <c r="P5" s="208">
        <v>2024</v>
      </c>
      <c r="Q5" s="208">
        <v>2024</v>
      </c>
      <c r="R5" s="208">
        <v>2026</v>
      </c>
      <c r="S5" s="208">
        <v>2026</v>
      </c>
      <c r="T5" s="208">
        <v>2026</v>
      </c>
      <c r="U5" s="154" t="s">
        <v>78</v>
      </c>
    </row>
    <row r="6" spans="1:42" ht="15" thickBot="1" x14ac:dyDescent="0.35">
      <c r="A6" s="152"/>
      <c r="B6" s="160" t="s">
        <v>70</v>
      </c>
      <c r="C6" s="152"/>
      <c r="D6" s="152"/>
      <c r="E6" s="152"/>
      <c r="F6" s="207" t="s">
        <v>32</v>
      </c>
      <c r="G6" s="207" t="s">
        <v>33</v>
      </c>
      <c r="H6" s="207" t="s">
        <v>34</v>
      </c>
      <c r="I6" s="207" t="s">
        <v>35</v>
      </c>
      <c r="J6" s="207" t="s">
        <v>36</v>
      </c>
      <c r="K6" s="207" t="s">
        <v>37</v>
      </c>
      <c r="L6" s="207" t="s">
        <v>38</v>
      </c>
      <c r="M6" s="207" t="s">
        <v>39</v>
      </c>
      <c r="N6" s="207" t="s">
        <v>40</v>
      </c>
      <c r="O6" s="207" t="s">
        <v>41</v>
      </c>
      <c r="P6" s="207" t="s">
        <v>42</v>
      </c>
      <c r="Q6" s="207" t="s">
        <v>43</v>
      </c>
      <c r="R6" s="207" t="s">
        <v>32</v>
      </c>
      <c r="S6" s="207" t="s">
        <v>33</v>
      </c>
      <c r="T6" s="207" t="s">
        <v>34</v>
      </c>
      <c r="U6" s="166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309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337</v>
      </c>
      <c r="D12" s="13"/>
      <c r="E12" s="13"/>
      <c r="F12" s="158">
        <f>'2025 Sales Summary'!G27</f>
        <v>16779.636000000002</v>
      </c>
      <c r="G12" s="158">
        <f>'2025 Sales Summary'!H27</f>
        <v>17016.803999999996</v>
      </c>
      <c r="H12" s="158">
        <f>'2025 Sales Summary'!I27</f>
        <v>17253.971999999998</v>
      </c>
      <c r="I12" s="158">
        <f>'2025 Sales Summary'!J27</f>
        <v>17491.14</v>
      </c>
      <c r="J12" s="158">
        <f>'2025 Sales Summary'!K27</f>
        <v>17372.556000000004</v>
      </c>
      <c r="K12" s="158">
        <f>'2025 Sales Summary'!L27</f>
        <v>17520.785999999996</v>
      </c>
      <c r="L12" s="158">
        <f>'2025 Sales Summary'!M27</f>
        <v>18024.768000000004</v>
      </c>
      <c r="M12" s="158">
        <f>'2025 Sales Summary'!N27</f>
        <v>17817.245999999996</v>
      </c>
      <c r="N12" s="158">
        <f>'2025 Sales Summary'!O27</f>
        <v>18499.104000000003</v>
      </c>
      <c r="O12" s="158">
        <f>'2025 Sales Summary'!P27</f>
        <v>18573.218999999997</v>
      </c>
      <c r="P12" s="158">
        <f>'2025 Sales Summary'!Q27</f>
        <v>18113.706000000002</v>
      </c>
      <c r="Q12" s="158">
        <f>'2025 Sales Summary'!R27</f>
        <v>18187.821</v>
      </c>
      <c r="R12" s="158">
        <f>'IS 2026'!F12</f>
        <v>18225</v>
      </c>
      <c r="S12" s="158">
        <f>'IS 2026'!G12</f>
        <v>18495</v>
      </c>
      <c r="T12" s="158">
        <f>'IS 2026'!H12</f>
        <v>17280</v>
      </c>
      <c r="U12" s="13"/>
    </row>
    <row r="13" spans="1:42" x14ac:dyDescent="0.3">
      <c r="A13" s="13"/>
      <c r="B13" s="13"/>
      <c r="C13" s="145" t="s">
        <v>338</v>
      </c>
      <c r="D13" s="13"/>
      <c r="E13" s="13"/>
      <c r="F13" s="158">
        <f>'2025 Sales Summary'!G30</f>
        <v>11780</v>
      </c>
      <c r="G13" s="158">
        <f>'2025 Sales Summary'!H30</f>
        <v>11970</v>
      </c>
      <c r="H13" s="158">
        <f>'2025 Sales Summary'!I30</f>
        <v>12160</v>
      </c>
      <c r="I13" s="158">
        <f>'2025 Sales Summary'!J30</f>
        <v>12350</v>
      </c>
      <c r="J13" s="158">
        <f>'2025 Sales Summary'!K30</f>
        <v>12255</v>
      </c>
      <c r="K13" s="158">
        <f>'2025 Sales Summary'!L30</f>
        <v>12350</v>
      </c>
      <c r="L13" s="158">
        <f>'2025 Sales Summary'!M30</f>
        <v>12730</v>
      </c>
      <c r="M13" s="158">
        <f>'2025 Sales Summary'!N30</f>
        <v>12540</v>
      </c>
      <c r="N13" s="158">
        <f>'2025 Sales Summary'!O30</f>
        <v>13015</v>
      </c>
      <c r="O13" s="158">
        <f>'2025 Sales Summary'!P30</f>
        <v>13110</v>
      </c>
      <c r="P13" s="158">
        <f>'2025 Sales Summary'!Q30</f>
        <v>12730</v>
      </c>
      <c r="Q13" s="158">
        <f>'2025 Sales Summary'!R30</f>
        <v>12825</v>
      </c>
      <c r="R13" s="158">
        <f>'IS 2026'!F13</f>
        <v>12825</v>
      </c>
      <c r="S13" s="158">
        <f>'IS 2026'!G13</f>
        <v>13015</v>
      </c>
      <c r="T13" s="158">
        <f>'IS 2026'!H13</f>
        <v>12160</v>
      </c>
      <c r="U13" s="13"/>
    </row>
    <row r="14" spans="1:42" x14ac:dyDescent="0.3">
      <c r="A14" s="13"/>
      <c r="B14" s="13"/>
      <c r="C14" s="145" t="s">
        <v>339</v>
      </c>
      <c r="D14" s="13"/>
      <c r="E14" s="13"/>
      <c r="F14" s="158">
        <f>'2025 Sales Summary'!G33</f>
        <v>28635</v>
      </c>
      <c r="G14" s="158">
        <f>'2025 Sales Summary'!H33</f>
        <v>28980</v>
      </c>
      <c r="H14" s="158">
        <f>'2025 Sales Summary'!I33</f>
        <v>29440</v>
      </c>
      <c r="I14" s="158">
        <f>'2025 Sales Summary'!J33</f>
        <v>29785</v>
      </c>
      <c r="J14" s="158">
        <f>'2025 Sales Summary'!K33</f>
        <v>29555</v>
      </c>
      <c r="K14" s="158">
        <f>'2025 Sales Summary'!L33</f>
        <v>29900</v>
      </c>
      <c r="L14" s="158">
        <f>'2025 Sales Summary'!M33</f>
        <v>30705</v>
      </c>
      <c r="M14" s="158">
        <f>'2025 Sales Summary'!N33</f>
        <v>30360</v>
      </c>
      <c r="N14" s="158">
        <f>'2025 Sales Summary'!O33</f>
        <v>31510</v>
      </c>
      <c r="O14" s="158">
        <f>'2025 Sales Summary'!P33</f>
        <v>31625</v>
      </c>
      <c r="P14" s="158">
        <f>'2025 Sales Summary'!Q33</f>
        <v>30820</v>
      </c>
      <c r="Q14" s="158">
        <f>'2025 Sales Summary'!R33</f>
        <v>30935</v>
      </c>
      <c r="R14" s="158">
        <f>'IS 2026'!F14</f>
        <v>32520</v>
      </c>
      <c r="S14" s="158">
        <f>'IS 2026'!G14</f>
        <v>32880</v>
      </c>
      <c r="T14" s="158">
        <f>'IS 2026'!H14</f>
        <v>30720</v>
      </c>
      <c r="U14" s="13"/>
    </row>
    <row r="15" spans="1:42" x14ac:dyDescent="0.3">
      <c r="A15" s="13"/>
      <c r="B15" s="13"/>
      <c r="C15" s="145" t="s">
        <v>340</v>
      </c>
      <c r="D15" s="13"/>
      <c r="E15" s="13"/>
      <c r="F15" s="158">
        <f>'2025 Sales Summary'!G36</f>
        <v>150800</v>
      </c>
      <c r="G15" s="158">
        <f>'2025 Sales Summary'!H36</f>
        <v>152880</v>
      </c>
      <c r="H15" s="158">
        <f>'2025 Sales Summary'!I36</f>
        <v>152880</v>
      </c>
      <c r="I15" s="158">
        <f>'2025 Sales Summary'!J36</f>
        <v>152880</v>
      </c>
      <c r="J15" s="158">
        <f>'2025 Sales Summary'!K36</f>
        <v>153400</v>
      </c>
      <c r="K15" s="158">
        <f>'2025 Sales Summary'!L36</f>
        <v>153400</v>
      </c>
      <c r="L15" s="158">
        <f>'2025 Sales Summary'!M36</f>
        <v>153400</v>
      </c>
      <c r="M15" s="158">
        <f>'2025 Sales Summary'!N36</f>
        <v>155480</v>
      </c>
      <c r="N15" s="158">
        <f>'2025 Sales Summary'!O36</f>
        <v>155740</v>
      </c>
      <c r="O15" s="158">
        <f>'2025 Sales Summary'!P36</f>
        <v>156000</v>
      </c>
      <c r="P15" s="158">
        <f>'2025 Sales Summary'!Q36</f>
        <v>156260</v>
      </c>
      <c r="Q15" s="158">
        <f>'2025 Sales Summary'!R36</f>
        <v>157820</v>
      </c>
      <c r="R15" s="158">
        <f>'IS 2026'!F15</f>
        <v>167215</v>
      </c>
      <c r="S15" s="158">
        <f>'IS 2026'!G15</f>
        <v>169335</v>
      </c>
      <c r="T15" s="158">
        <f>'IS 2026'!H15</f>
        <v>158205</v>
      </c>
      <c r="U15" s="13"/>
    </row>
    <row r="16" spans="1:42" x14ac:dyDescent="0.3">
      <c r="A16" s="13"/>
      <c r="B16" s="13"/>
      <c r="C16" s="145" t="s">
        <v>341</v>
      </c>
      <c r="D16" s="13"/>
      <c r="E16" s="13"/>
      <c r="F16" s="158">
        <f>'2025 Sales Summary'!G39</f>
        <v>338078.59200000006</v>
      </c>
      <c r="G16" s="158">
        <f>'2025 Sales Summary'!H39</f>
        <v>342857.08799999993</v>
      </c>
      <c r="H16" s="158">
        <f>'2025 Sales Summary'!I39</f>
        <v>347635.58399999997</v>
      </c>
      <c r="I16" s="158">
        <f>'2025 Sales Summary'!J39</f>
        <v>352414.07999999996</v>
      </c>
      <c r="J16" s="158">
        <f>'2025 Sales Summary'!K39</f>
        <v>350024.83200000005</v>
      </c>
      <c r="K16" s="158">
        <f>'2025 Sales Summary'!L39</f>
        <v>353011.39199999993</v>
      </c>
      <c r="L16" s="158">
        <f>'2025 Sales Summary'!M39</f>
        <v>363165.69600000005</v>
      </c>
      <c r="M16" s="158">
        <f>'2025 Sales Summary'!N39</f>
        <v>358984.51199999993</v>
      </c>
      <c r="N16" s="158">
        <f>'2025 Sales Summary'!O39</f>
        <v>372722.68800000002</v>
      </c>
      <c r="O16" s="158">
        <f>'2025 Sales Summary'!P39</f>
        <v>374215.96799999999</v>
      </c>
      <c r="P16" s="158">
        <f>'2025 Sales Summary'!Q39</f>
        <v>364957.63199999998</v>
      </c>
      <c r="Q16" s="158">
        <f>'2025 Sales Summary'!R39</f>
        <v>366450.91200000001</v>
      </c>
      <c r="R16" s="158">
        <f>'IS 2026'!F16</f>
        <v>373290</v>
      </c>
      <c r="S16" s="158">
        <f>'IS 2026'!G16</f>
        <v>377775</v>
      </c>
      <c r="T16" s="158">
        <f>'IS 2026'!H16</f>
        <v>353280</v>
      </c>
      <c r="U16" s="13"/>
    </row>
    <row r="17" spans="1:21" x14ac:dyDescent="0.3">
      <c r="A17" s="150"/>
      <c r="B17" s="150"/>
      <c r="C17" s="153" t="s">
        <v>119</v>
      </c>
      <c r="D17" s="150"/>
      <c r="E17" s="150"/>
      <c r="F17" s="151">
        <f t="shared" ref="F17:H17" si="0">SUM(F12:F16)</f>
        <v>546073.22800000012</v>
      </c>
      <c r="G17" s="151">
        <f t="shared" si="0"/>
        <v>553703.89199999999</v>
      </c>
      <c r="H17" s="151">
        <f t="shared" si="0"/>
        <v>559369.55599999998</v>
      </c>
      <c r="I17" s="151">
        <f>SUM(I12:I16)</f>
        <v>564920.22</v>
      </c>
      <c r="J17" s="151">
        <f t="shared" ref="J17:T17" si="1">SUM(J12:J16)</f>
        <v>562607.38800000004</v>
      </c>
      <c r="K17" s="151">
        <f t="shared" si="1"/>
        <v>566182.17799999996</v>
      </c>
      <c r="L17" s="151">
        <f t="shared" si="1"/>
        <v>578025.46400000004</v>
      </c>
      <c r="M17" s="151">
        <f t="shared" si="1"/>
        <v>575181.75799999991</v>
      </c>
      <c r="N17" s="151">
        <f t="shared" si="1"/>
        <v>591486.79200000002</v>
      </c>
      <c r="O17" s="151">
        <f t="shared" si="1"/>
        <v>593524.18699999992</v>
      </c>
      <c r="P17" s="151">
        <f t="shared" si="1"/>
        <v>582881.33799999999</v>
      </c>
      <c r="Q17" s="151">
        <f t="shared" si="1"/>
        <v>586218.73300000001</v>
      </c>
      <c r="R17" s="151">
        <f t="shared" si="1"/>
        <v>604075</v>
      </c>
      <c r="S17" s="151">
        <f t="shared" si="1"/>
        <v>611500</v>
      </c>
      <c r="T17" s="151">
        <f t="shared" si="1"/>
        <v>571645</v>
      </c>
      <c r="U17" s="162">
        <f>SUM(F17:Q17)</f>
        <v>6860174.7340000002</v>
      </c>
    </row>
    <row r="18" spans="1:21" x14ac:dyDescent="0.3">
      <c r="A18" s="152"/>
      <c r="B18" s="152"/>
      <c r="C18" s="160" t="s">
        <v>120</v>
      </c>
      <c r="D18" s="152"/>
      <c r="E18" s="152"/>
      <c r="F18" s="161">
        <f t="shared" ref="F18:H18" si="2">SUM(F19:F24)</f>
        <v>-10390</v>
      </c>
      <c r="G18" s="161">
        <f t="shared" si="2"/>
        <v>-10390</v>
      </c>
      <c r="H18" s="161">
        <f t="shared" si="2"/>
        <v>-10390</v>
      </c>
      <c r="I18" s="161">
        <f t="shared" ref="I18:T18" si="3">SUM(I19:I24)</f>
        <v>-10390</v>
      </c>
      <c r="J18" s="161">
        <f t="shared" si="3"/>
        <v>-10390</v>
      </c>
      <c r="K18" s="161">
        <f t="shared" si="3"/>
        <v>-10390</v>
      </c>
      <c r="L18" s="161">
        <f t="shared" si="3"/>
        <v>-10390</v>
      </c>
      <c r="M18" s="161">
        <f t="shared" si="3"/>
        <v>-10390</v>
      </c>
      <c r="N18" s="161">
        <f t="shared" si="3"/>
        <v>-10390</v>
      </c>
      <c r="O18" s="161">
        <f t="shared" si="3"/>
        <v>-10390</v>
      </c>
      <c r="P18" s="161">
        <f t="shared" si="3"/>
        <v>-10390</v>
      </c>
      <c r="Q18" s="161">
        <f t="shared" si="3"/>
        <v>-10390</v>
      </c>
      <c r="R18" s="161">
        <f t="shared" si="3"/>
        <v>-10390</v>
      </c>
      <c r="S18" s="161">
        <f t="shared" si="3"/>
        <v>-10390</v>
      </c>
      <c r="T18" s="161">
        <f t="shared" si="3"/>
        <v>-10390</v>
      </c>
      <c r="U18" s="156">
        <f>SUM(F18:Q18)</f>
        <v>-124680</v>
      </c>
    </row>
    <row r="19" spans="1:21" x14ac:dyDescent="0.3">
      <c r="A19" s="13"/>
      <c r="B19" s="13"/>
      <c r="C19" s="145" t="s">
        <v>204</v>
      </c>
      <c r="D19" s="13"/>
      <c r="E19" s="13"/>
      <c r="F19" s="142">
        <v>-9500</v>
      </c>
      <c r="G19" s="142">
        <v>-9500</v>
      </c>
      <c r="H19" s="142">
        <v>-9500</v>
      </c>
      <c r="I19" s="142">
        <v>-9500</v>
      </c>
      <c r="J19" s="142">
        <v>-9500</v>
      </c>
      <c r="K19" s="142">
        <v>-9500</v>
      </c>
      <c r="L19" s="142">
        <v>-9500</v>
      </c>
      <c r="M19" s="142">
        <v>-9500</v>
      </c>
      <c r="N19" s="142">
        <v>-9500</v>
      </c>
      <c r="O19" s="142">
        <v>-9500</v>
      </c>
      <c r="P19" s="142">
        <v>-9500</v>
      </c>
      <c r="Q19" s="142">
        <v>-9500</v>
      </c>
      <c r="R19" s="142">
        <v>-9500</v>
      </c>
      <c r="S19" s="142">
        <v>-9500</v>
      </c>
      <c r="T19" s="142">
        <v>-9500</v>
      </c>
      <c r="U19" s="158">
        <f t="shared" ref="U19:U25" si="4">SUM(F19:Q19)</f>
        <v>-114000</v>
      </c>
    </row>
    <row r="20" spans="1:21" x14ac:dyDescent="0.3">
      <c r="A20" s="13"/>
      <c r="B20" s="13"/>
      <c r="C20" s="145" t="s">
        <v>325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>
        <v>-700</v>
      </c>
      <c r="S20" s="143">
        <v>-700</v>
      </c>
      <c r="T20" s="143">
        <v>-700</v>
      </c>
      <c r="U20" s="158">
        <f t="shared" si="4"/>
        <v>-8400</v>
      </c>
    </row>
    <row r="21" spans="1:21" x14ac:dyDescent="0.3">
      <c r="A21" s="13"/>
      <c r="B21" s="13"/>
      <c r="C21" s="145" t="s">
        <v>321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>
        <v>-125</v>
      </c>
      <c r="S21" s="143">
        <v>-125</v>
      </c>
      <c r="T21" s="143">
        <v>-125</v>
      </c>
      <c r="U21" s="158">
        <f t="shared" si="4"/>
        <v>-1500</v>
      </c>
    </row>
    <row r="22" spans="1:21" x14ac:dyDescent="0.3">
      <c r="A22" s="13"/>
      <c r="B22" s="13"/>
      <c r="C22" s="145" t="s">
        <v>322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>
        <v>-65</v>
      </c>
      <c r="S22" s="143">
        <v>-65</v>
      </c>
      <c r="T22" s="143">
        <v>-65</v>
      </c>
      <c r="U22" s="158">
        <f t="shared" si="4"/>
        <v>-780</v>
      </c>
    </row>
    <row r="23" spans="1:21" x14ac:dyDescent="0.3">
      <c r="A23" s="13"/>
      <c r="B23" s="13"/>
      <c r="C23" s="145" t="s">
        <v>208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58">
        <f t="shared" si="4"/>
        <v>0</v>
      </c>
    </row>
    <row r="24" spans="1:21" x14ac:dyDescent="0.3">
      <c r="A24" s="13"/>
      <c r="B24" s="13"/>
      <c r="C24" s="145" t="s">
        <v>209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58">
        <f t="shared" si="4"/>
        <v>0</v>
      </c>
    </row>
    <row r="25" spans="1:21" x14ac:dyDescent="0.3">
      <c r="A25" s="13"/>
      <c r="B25" s="13"/>
      <c r="C25" s="145" t="s">
        <v>210</v>
      </c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58">
        <f t="shared" si="4"/>
        <v>0</v>
      </c>
    </row>
    <row r="26" spans="1:21" x14ac:dyDescent="0.3">
      <c r="A26" s="13"/>
      <c r="B26" s="13"/>
      <c r="C26" s="143"/>
      <c r="D26" s="13"/>
      <c r="E26" s="1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0"/>
    </row>
    <row r="27" spans="1:21" x14ac:dyDescent="0.3">
      <c r="A27" s="163"/>
      <c r="B27" s="163"/>
      <c r="C27" s="164" t="s">
        <v>4</v>
      </c>
      <c r="D27" s="163"/>
      <c r="E27" s="163"/>
      <c r="F27" s="165">
        <f>SUM(F17+F18)</f>
        <v>535683.22800000012</v>
      </c>
      <c r="G27" s="165">
        <f t="shared" ref="G27:T27" si="5">SUM(G17+G18)</f>
        <v>543313.89199999999</v>
      </c>
      <c r="H27" s="165">
        <f t="shared" si="5"/>
        <v>548979.55599999998</v>
      </c>
      <c r="I27" s="165">
        <f t="shared" si="5"/>
        <v>554530.22</v>
      </c>
      <c r="J27" s="165">
        <f t="shared" si="5"/>
        <v>552217.38800000004</v>
      </c>
      <c r="K27" s="165">
        <f t="shared" si="5"/>
        <v>555792.17799999996</v>
      </c>
      <c r="L27" s="165">
        <f t="shared" si="5"/>
        <v>567635.46400000004</v>
      </c>
      <c r="M27" s="165">
        <f t="shared" si="5"/>
        <v>564791.75799999991</v>
      </c>
      <c r="N27" s="165">
        <f t="shared" si="5"/>
        <v>581096.79200000002</v>
      </c>
      <c r="O27" s="165">
        <f t="shared" si="5"/>
        <v>583134.18699999992</v>
      </c>
      <c r="P27" s="165">
        <f t="shared" si="5"/>
        <v>572491.33799999999</v>
      </c>
      <c r="Q27" s="165">
        <f t="shared" si="5"/>
        <v>575828.73300000001</v>
      </c>
      <c r="R27" s="165">
        <f t="shared" si="5"/>
        <v>593685</v>
      </c>
      <c r="S27" s="165">
        <f t="shared" si="5"/>
        <v>601110</v>
      </c>
      <c r="T27" s="165">
        <f t="shared" si="5"/>
        <v>561255</v>
      </c>
      <c r="U27" s="307">
        <f t="shared" ref="U27:U66" si="6">SUM(F27:Q27)</f>
        <v>6735494.7340000002</v>
      </c>
    </row>
    <row r="28" spans="1:21" x14ac:dyDescent="0.3">
      <c r="A28" s="13"/>
      <c r="B28" s="13"/>
      <c r="C28" s="143"/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x14ac:dyDescent="0.3">
      <c r="A29" s="13"/>
      <c r="B29" s="13"/>
      <c r="C29" s="144" t="s">
        <v>6</v>
      </c>
      <c r="D29" s="13"/>
      <c r="E29" s="1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0"/>
    </row>
    <row r="30" spans="1:21" x14ac:dyDescent="0.3">
      <c r="A30" s="13"/>
      <c r="B30" s="13"/>
      <c r="C30" s="145" t="s">
        <v>314</v>
      </c>
      <c r="D30" s="13"/>
      <c r="E30" s="13"/>
      <c r="F30" s="158">
        <v>-975</v>
      </c>
      <c r="G30" s="158">
        <v>-975</v>
      </c>
      <c r="H30" s="158">
        <v>-975</v>
      </c>
      <c r="I30" s="158">
        <v>-975</v>
      </c>
      <c r="J30" s="158">
        <v>-975</v>
      </c>
      <c r="K30" s="158">
        <v>-975</v>
      </c>
      <c r="L30" s="158">
        <v>-975</v>
      </c>
      <c r="M30" s="158">
        <v>-975</v>
      </c>
      <c r="N30" s="158">
        <v>-975</v>
      </c>
      <c r="O30" s="158">
        <v>-975</v>
      </c>
      <c r="P30" s="158">
        <v>-975</v>
      </c>
      <c r="Q30" s="158">
        <v>-975</v>
      </c>
      <c r="R30" s="158">
        <v>-975</v>
      </c>
      <c r="S30" s="158">
        <v>-975</v>
      </c>
      <c r="T30" s="158">
        <v>-975</v>
      </c>
      <c r="U30" s="158">
        <f t="shared" si="6"/>
        <v>-11700</v>
      </c>
    </row>
    <row r="31" spans="1:21" x14ac:dyDescent="0.3">
      <c r="A31" s="13"/>
      <c r="B31" s="13"/>
      <c r="C31" s="145" t="s">
        <v>315</v>
      </c>
      <c r="D31" s="13"/>
      <c r="E31" s="13"/>
      <c r="F31" s="158">
        <v>-300</v>
      </c>
      <c r="G31" s="158">
        <v>-300</v>
      </c>
      <c r="H31" s="158">
        <v>-300</v>
      </c>
      <c r="I31" s="158">
        <v>-300</v>
      </c>
      <c r="J31" s="158">
        <v>-300</v>
      </c>
      <c r="K31" s="158">
        <v>-300</v>
      </c>
      <c r="L31" s="158">
        <v>-300</v>
      </c>
      <c r="M31" s="158">
        <v>-300</v>
      </c>
      <c r="N31" s="158">
        <v>-300</v>
      </c>
      <c r="O31" s="158">
        <v>-300</v>
      </c>
      <c r="P31" s="158">
        <v>-300</v>
      </c>
      <c r="Q31" s="158">
        <v>-300</v>
      </c>
      <c r="R31" s="158">
        <v>-300</v>
      </c>
      <c r="S31" s="158">
        <v>-300</v>
      </c>
      <c r="T31" s="158">
        <v>-300</v>
      </c>
      <c r="U31" s="158">
        <f t="shared" si="6"/>
        <v>-3600</v>
      </c>
    </row>
    <row r="32" spans="1:21" x14ac:dyDescent="0.3">
      <c r="A32" s="13"/>
      <c r="B32" s="13"/>
      <c r="C32" s="145" t="s">
        <v>287</v>
      </c>
      <c r="D32" s="13"/>
      <c r="E32" s="13"/>
      <c r="F32" s="158">
        <v>-300</v>
      </c>
      <c r="G32" s="158">
        <v>-300</v>
      </c>
      <c r="H32" s="158">
        <v>-300</v>
      </c>
      <c r="I32" s="158">
        <v>-300</v>
      </c>
      <c r="J32" s="158">
        <v>-300</v>
      </c>
      <c r="K32" s="158">
        <v>-300</v>
      </c>
      <c r="L32" s="158">
        <v>-300</v>
      </c>
      <c r="M32" s="158">
        <v>-300</v>
      </c>
      <c r="N32" s="158">
        <v>-300</v>
      </c>
      <c r="O32" s="158">
        <v>-300</v>
      </c>
      <c r="P32" s="158">
        <v>-300</v>
      </c>
      <c r="Q32" s="158">
        <v>-300</v>
      </c>
      <c r="R32" s="158">
        <v>-300</v>
      </c>
      <c r="S32" s="158">
        <v>-300</v>
      </c>
      <c r="T32" s="158">
        <v>-300</v>
      </c>
      <c r="U32" s="158">
        <f t="shared" si="6"/>
        <v>-3600</v>
      </c>
    </row>
    <row r="33" spans="1:21" x14ac:dyDescent="0.3">
      <c r="A33" s="13"/>
      <c r="B33" s="13"/>
      <c r="C33" s="145" t="s">
        <v>323</v>
      </c>
      <c r="D33" s="13"/>
      <c r="E33" s="13"/>
      <c r="F33" s="380">
        <v>-710</v>
      </c>
      <c r="G33" s="380">
        <v>-710</v>
      </c>
      <c r="H33" s="380">
        <v>-710</v>
      </c>
      <c r="I33" s="380">
        <v>-710</v>
      </c>
      <c r="J33" s="380">
        <v>-710</v>
      </c>
      <c r="K33" s="380">
        <v>-710</v>
      </c>
      <c r="L33" s="380">
        <v>-710</v>
      </c>
      <c r="M33" s="380">
        <v>-710</v>
      </c>
      <c r="N33" s="380">
        <v>-710</v>
      </c>
      <c r="O33" s="380">
        <v>-710</v>
      </c>
      <c r="P33" s="380">
        <v>-710</v>
      </c>
      <c r="Q33" s="380">
        <v>-710</v>
      </c>
      <c r="R33" s="380">
        <v>-710</v>
      </c>
      <c r="S33" s="380">
        <v>-710</v>
      </c>
      <c r="T33" s="380">
        <v>-710</v>
      </c>
      <c r="U33" s="158">
        <f t="shared" si="6"/>
        <v>-8520</v>
      </c>
    </row>
    <row r="34" spans="1:21" x14ac:dyDescent="0.3">
      <c r="A34" s="13"/>
      <c r="B34" s="13"/>
      <c r="C34" s="145" t="s">
        <v>124</v>
      </c>
      <c r="D34" s="13"/>
      <c r="E34" s="13"/>
      <c r="F34" s="159" t="s">
        <v>146</v>
      </c>
      <c r="G34" s="159" t="s">
        <v>146</v>
      </c>
      <c r="H34" s="159" t="s">
        <v>146</v>
      </c>
      <c r="I34" s="159" t="s">
        <v>146</v>
      </c>
      <c r="J34" s="159" t="s">
        <v>146</v>
      </c>
      <c r="K34" s="159" t="s">
        <v>146</v>
      </c>
      <c r="L34" s="159" t="s">
        <v>146</v>
      </c>
      <c r="M34" s="159" t="s">
        <v>146</v>
      </c>
      <c r="N34" s="159" t="s">
        <v>146</v>
      </c>
      <c r="O34" s="159" t="s">
        <v>146</v>
      </c>
      <c r="P34" s="159" t="s">
        <v>146</v>
      </c>
      <c r="Q34" s="159" t="s">
        <v>146</v>
      </c>
      <c r="R34" s="159" t="s">
        <v>146</v>
      </c>
      <c r="S34" s="159" t="s">
        <v>146</v>
      </c>
      <c r="T34" s="159" t="s">
        <v>146</v>
      </c>
      <c r="U34" s="140"/>
    </row>
    <row r="35" spans="1:21" x14ac:dyDescent="0.3">
      <c r="A35" s="13"/>
      <c r="B35" s="13"/>
      <c r="C35" s="145" t="s">
        <v>125</v>
      </c>
      <c r="D35" s="13"/>
      <c r="E35" s="13"/>
      <c r="F35" s="306" t="s">
        <v>146</v>
      </c>
      <c r="G35" s="306" t="s">
        <v>146</v>
      </c>
      <c r="H35" s="306" t="s">
        <v>146</v>
      </c>
      <c r="I35" s="306" t="s">
        <v>146</v>
      </c>
      <c r="J35" s="306" t="s">
        <v>146</v>
      </c>
      <c r="K35" s="306" t="s">
        <v>146</v>
      </c>
      <c r="L35" s="306" t="s">
        <v>146</v>
      </c>
      <c r="M35" s="306" t="s">
        <v>146</v>
      </c>
      <c r="N35" s="306" t="s">
        <v>146</v>
      </c>
      <c r="O35" s="306" t="s">
        <v>146</v>
      </c>
      <c r="P35" s="306" t="s">
        <v>146</v>
      </c>
      <c r="Q35" s="306" t="s">
        <v>146</v>
      </c>
      <c r="R35" s="306" t="s">
        <v>146</v>
      </c>
      <c r="S35" s="306" t="s">
        <v>146</v>
      </c>
      <c r="T35" s="306" t="s">
        <v>146</v>
      </c>
      <c r="U35" s="140"/>
    </row>
    <row r="36" spans="1:21" x14ac:dyDescent="0.3">
      <c r="A36" s="13"/>
      <c r="B36" s="13"/>
      <c r="C36" s="145" t="s">
        <v>126</v>
      </c>
      <c r="D36" s="13"/>
      <c r="E36" s="13"/>
      <c r="F36" s="306" t="s">
        <v>146</v>
      </c>
      <c r="G36" s="306" t="s">
        <v>146</v>
      </c>
      <c r="H36" s="306" t="s">
        <v>146</v>
      </c>
      <c r="I36" s="306" t="s">
        <v>146</v>
      </c>
      <c r="J36" s="306" t="s">
        <v>146</v>
      </c>
      <c r="K36" s="306" t="s">
        <v>146</v>
      </c>
      <c r="L36" s="306" t="s">
        <v>146</v>
      </c>
      <c r="M36" s="306" t="s">
        <v>146</v>
      </c>
      <c r="N36" s="306" t="s">
        <v>146</v>
      </c>
      <c r="O36" s="306" t="s">
        <v>146</v>
      </c>
      <c r="P36" s="306" t="s">
        <v>146</v>
      </c>
      <c r="Q36" s="306" t="s">
        <v>146</v>
      </c>
      <c r="R36" s="306" t="s">
        <v>146</v>
      </c>
      <c r="S36" s="306" t="s">
        <v>146</v>
      </c>
      <c r="T36" s="306" t="s">
        <v>146</v>
      </c>
      <c r="U36" s="140"/>
    </row>
    <row r="37" spans="1:21" x14ac:dyDescent="0.3">
      <c r="A37" s="13"/>
      <c r="B37" s="13"/>
      <c r="C37" s="145" t="s">
        <v>127</v>
      </c>
      <c r="D37" s="13"/>
      <c r="E37" s="13"/>
      <c r="F37" s="306" t="s">
        <v>146</v>
      </c>
      <c r="G37" s="306" t="s">
        <v>146</v>
      </c>
      <c r="H37" s="306" t="s">
        <v>146</v>
      </c>
      <c r="I37" s="306" t="s">
        <v>146</v>
      </c>
      <c r="J37" s="306" t="s">
        <v>146</v>
      </c>
      <c r="K37" s="306" t="s">
        <v>146</v>
      </c>
      <c r="L37" s="306" t="s">
        <v>146</v>
      </c>
      <c r="M37" s="306" t="s">
        <v>146</v>
      </c>
      <c r="N37" s="306" t="s">
        <v>146</v>
      </c>
      <c r="O37" s="306" t="s">
        <v>146</v>
      </c>
      <c r="P37" s="306" t="s">
        <v>146</v>
      </c>
      <c r="Q37" s="306" t="s">
        <v>146</v>
      </c>
      <c r="R37" s="306" t="s">
        <v>146</v>
      </c>
      <c r="S37" s="306" t="s">
        <v>146</v>
      </c>
      <c r="T37" s="306" t="s">
        <v>146</v>
      </c>
      <c r="U37" s="140"/>
    </row>
    <row r="38" spans="1:21" x14ac:dyDescent="0.3">
      <c r="A38" s="13"/>
      <c r="B38" s="13"/>
      <c r="C38" s="145"/>
      <c r="D38" s="13"/>
      <c r="E38" s="13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40"/>
    </row>
    <row r="39" spans="1:21" x14ac:dyDescent="0.3">
      <c r="A39" s="154"/>
      <c r="B39" s="154"/>
      <c r="C39" s="181" t="s">
        <v>128</v>
      </c>
      <c r="D39" s="154"/>
      <c r="E39" s="154"/>
      <c r="F39" s="162">
        <f>SUM(F30:F37)</f>
        <v>-2285</v>
      </c>
      <c r="G39" s="162">
        <f t="shared" ref="G39:T39" si="7">SUM(G30:G37)</f>
        <v>-2285</v>
      </c>
      <c r="H39" s="162">
        <f t="shared" si="7"/>
        <v>-2285</v>
      </c>
      <c r="I39" s="162">
        <f t="shared" si="7"/>
        <v>-2285</v>
      </c>
      <c r="J39" s="162">
        <f t="shared" si="7"/>
        <v>-2285</v>
      </c>
      <c r="K39" s="162">
        <f t="shared" si="7"/>
        <v>-2285</v>
      </c>
      <c r="L39" s="162">
        <f t="shared" si="7"/>
        <v>-2285</v>
      </c>
      <c r="M39" s="162">
        <f t="shared" si="7"/>
        <v>-2285</v>
      </c>
      <c r="N39" s="162">
        <f t="shared" si="7"/>
        <v>-2285</v>
      </c>
      <c r="O39" s="162">
        <f t="shared" si="7"/>
        <v>-2285</v>
      </c>
      <c r="P39" s="162">
        <f t="shared" si="7"/>
        <v>-2285</v>
      </c>
      <c r="Q39" s="162">
        <f t="shared" si="7"/>
        <v>-2285</v>
      </c>
      <c r="R39" s="162">
        <f t="shared" si="7"/>
        <v>-2285</v>
      </c>
      <c r="S39" s="162">
        <f t="shared" si="7"/>
        <v>-2285</v>
      </c>
      <c r="T39" s="162">
        <f t="shared" si="7"/>
        <v>-2285</v>
      </c>
      <c r="U39" s="162">
        <f t="shared" si="6"/>
        <v>-27420</v>
      </c>
    </row>
    <row r="40" spans="1:21" x14ac:dyDescent="0.3">
      <c r="A40" s="155"/>
      <c r="B40" s="155"/>
      <c r="C40" s="192" t="s">
        <v>129</v>
      </c>
      <c r="D40" s="155"/>
      <c r="E40" s="155"/>
      <c r="F40" s="156">
        <v>-4063</v>
      </c>
      <c r="G40" s="156">
        <v>-4063</v>
      </c>
      <c r="H40" s="156">
        <v>-4063</v>
      </c>
      <c r="I40" s="156">
        <v>-4063</v>
      </c>
      <c r="J40" s="156">
        <v>-4063</v>
      </c>
      <c r="K40" s="156">
        <v>-4063</v>
      </c>
      <c r="L40" s="156">
        <v>-4063</v>
      </c>
      <c r="M40" s="156">
        <v>-4063</v>
      </c>
      <c r="N40" s="156">
        <v>-4063</v>
      </c>
      <c r="O40" s="156">
        <v>-4063</v>
      </c>
      <c r="P40" s="156">
        <v>-4063</v>
      </c>
      <c r="Q40" s="156">
        <v>-4063</v>
      </c>
      <c r="R40" s="156">
        <v>-4063</v>
      </c>
      <c r="S40" s="156">
        <v>-4063</v>
      </c>
      <c r="T40" s="156">
        <v>-4063</v>
      </c>
      <c r="U40" s="156">
        <f t="shared" si="6"/>
        <v>-48756</v>
      </c>
    </row>
    <row r="41" spans="1:21" x14ac:dyDescent="0.3">
      <c r="A41" s="13"/>
      <c r="B41" s="13"/>
      <c r="C41" s="143"/>
      <c r="D41" s="13"/>
      <c r="E41" s="1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0"/>
    </row>
    <row r="42" spans="1:21" x14ac:dyDescent="0.3">
      <c r="A42" s="13"/>
      <c r="B42" s="13"/>
      <c r="C42" s="144" t="s">
        <v>31</v>
      </c>
      <c r="D42" s="13"/>
      <c r="E42" s="1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0"/>
    </row>
    <row r="43" spans="1:21" x14ac:dyDescent="0.3">
      <c r="A43" s="13"/>
      <c r="B43" s="13"/>
      <c r="C43" s="143" t="s">
        <v>324</v>
      </c>
      <c r="D43" s="13"/>
      <c r="E43" s="13"/>
      <c r="F43" s="158">
        <v>-1750</v>
      </c>
      <c r="G43" s="158">
        <v>-1750</v>
      </c>
      <c r="H43" s="158">
        <v>-1750</v>
      </c>
      <c r="I43" s="158">
        <v>-1750</v>
      </c>
      <c r="J43" s="158">
        <v>-1750</v>
      </c>
      <c r="K43" s="158">
        <v>-1750</v>
      </c>
      <c r="L43" s="158">
        <v>-1750</v>
      </c>
      <c r="M43" s="158">
        <v>-1750</v>
      </c>
      <c r="N43" s="158">
        <v>-1750</v>
      </c>
      <c r="O43" s="158">
        <v>-1750</v>
      </c>
      <c r="P43" s="158">
        <v>-1750</v>
      </c>
      <c r="Q43" s="158">
        <v>-1750</v>
      </c>
      <c r="R43" s="158">
        <v>-1750</v>
      </c>
      <c r="S43" s="158">
        <v>-1750</v>
      </c>
      <c r="T43" s="158">
        <v>-1750</v>
      </c>
      <c r="U43" s="158">
        <f t="shared" si="6"/>
        <v>-21000</v>
      </c>
    </row>
    <row r="44" spans="1:21" x14ac:dyDescent="0.3">
      <c r="A44" s="13"/>
      <c r="B44" s="13"/>
      <c r="C44" s="143" t="s">
        <v>325</v>
      </c>
      <c r="D44" s="13"/>
      <c r="E44" s="13"/>
      <c r="F44" s="158">
        <v>-2550</v>
      </c>
      <c r="G44" s="158">
        <v>-2550</v>
      </c>
      <c r="H44" s="158">
        <v>-2550</v>
      </c>
      <c r="I44" s="158">
        <v>-2550</v>
      </c>
      <c r="J44" s="158">
        <v>-2550</v>
      </c>
      <c r="K44" s="158">
        <v>-2550</v>
      </c>
      <c r="L44" s="158">
        <v>-2550</v>
      </c>
      <c r="M44" s="158">
        <v>-2550</v>
      </c>
      <c r="N44" s="158">
        <v>-2550</v>
      </c>
      <c r="O44" s="158">
        <v>-2550</v>
      </c>
      <c r="P44" s="158">
        <v>-2550</v>
      </c>
      <c r="Q44" s="158">
        <v>-2550</v>
      </c>
      <c r="R44" s="158">
        <v>-2550</v>
      </c>
      <c r="S44" s="158">
        <v>-2550</v>
      </c>
      <c r="T44" s="158">
        <v>-2550</v>
      </c>
      <c r="U44" s="158">
        <f t="shared" si="6"/>
        <v>-30600</v>
      </c>
    </row>
    <row r="45" spans="1:21" x14ac:dyDescent="0.3">
      <c r="A45" s="13"/>
      <c r="B45" s="13"/>
      <c r="C45" s="143" t="s">
        <v>326</v>
      </c>
      <c r="D45" s="13"/>
      <c r="E45" s="13"/>
      <c r="F45" s="158">
        <v>-700</v>
      </c>
      <c r="G45" s="158">
        <v>-700</v>
      </c>
      <c r="H45" s="158">
        <v>-700</v>
      </c>
      <c r="I45" s="158">
        <v>-700</v>
      </c>
      <c r="J45" s="158">
        <v>-700</v>
      </c>
      <c r="K45" s="158">
        <v>-700</v>
      </c>
      <c r="L45" s="158">
        <v>-700</v>
      </c>
      <c r="M45" s="158">
        <v>-700</v>
      </c>
      <c r="N45" s="158">
        <v>-700</v>
      </c>
      <c r="O45" s="158">
        <v>-700</v>
      </c>
      <c r="P45" s="158">
        <v>-700</v>
      </c>
      <c r="Q45" s="158">
        <v>-700</v>
      </c>
      <c r="R45" s="158">
        <v>-700</v>
      </c>
      <c r="S45" s="158">
        <v>-700</v>
      </c>
      <c r="T45" s="158">
        <v>-700</v>
      </c>
      <c r="U45" s="158">
        <f t="shared" si="6"/>
        <v>-8400</v>
      </c>
    </row>
    <row r="46" spans="1:21" x14ac:dyDescent="0.3">
      <c r="A46" s="13"/>
      <c r="B46" s="13"/>
      <c r="C46" s="143" t="s">
        <v>327</v>
      </c>
      <c r="D46" s="13"/>
      <c r="E46" s="13"/>
      <c r="F46" s="158">
        <v>-1350</v>
      </c>
      <c r="G46" s="158">
        <v>-1350</v>
      </c>
      <c r="H46" s="158">
        <v>-1350</v>
      </c>
      <c r="I46" s="158">
        <v>-1350</v>
      </c>
      <c r="J46" s="158">
        <v>-1350</v>
      </c>
      <c r="K46" s="158">
        <v>-1350</v>
      </c>
      <c r="L46" s="158">
        <v>-1350</v>
      </c>
      <c r="M46" s="158">
        <v>-1350</v>
      </c>
      <c r="N46" s="158">
        <v>-1350</v>
      </c>
      <c r="O46" s="158">
        <v>-1350</v>
      </c>
      <c r="P46" s="158">
        <v>-1350</v>
      </c>
      <c r="Q46" s="158">
        <v>-1350</v>
      </c>
      <c r="R46" s="158">
        <v>-1350</v>
      </c>
      <c r="S46" s="158">
        <v>-1350</v>
      </c>
      <c r="T46" s="158">
        <v>-1350</v>
      </c>
      <c r="U46" s="158">
        <f t="shared" si="6"/>
        <v>-16200</v>
      </c>
    </row>
    <row r="47" spans="1:21" x14ac:dyDescent="0.3">
      <c r="A47" s="13"/>
      <c r="B47" s="13"/>
      <c r="C47" s="143" t="s">
        <v>328</v>
      </c>
      <c r="D47" s="13"/>
      <c r="E47" s="13"/>
      <c r="F47" s="158">
        <v>-1900</v>
      </c>
      <c r="G47" s="158">
        <v>-1900</v>
      </c>
      <c r="H47" s="158">
        <v>-1900</v>
      </c>
      <c r="I47" s="158">
        <v>-1900</v>
      </c>
      <c r="J47" s="158">
        <v>-1900</v>
      </c>
      <c r="K47" s="158">
        <v>-1900</v>
      </c>
      <c r="L47" s="158">
        <v>-1900</v>
      </c>
      <c r="M47" s="158">
        <v>-1900</v>
      </c>
      <c r="N47" s="158">
        <v>-1900</v>
      </c>
      <c r="O47" s="158">
        <v>-1900</v>
      </c>
      <c r="P47" s="158">
        <v>-1900</v>
      </c>
      <c r="Q47" s="158">
        <v>-1900</v>
      </c>
      <c r="R47" s="158">
        <v>-1900</v>
      </c>
      <c r="S47" s="158">
        <v>-1900</v>
      </c>
      <c r="T47" s="158">
        <v>-1900</v>
      </c>
      <c r="U47" s="158">
        <f t="shared" si="6"/>
        <v>-22800</v>
      </c>
    </row>
    <row r="48" spans="1:21" x14ac:dyDescent="0.3">
      <c r="A48" s="13"/>
      <c r="B48" s="13"/>
      <c r="C48" s="143" t="s">
        <v>131</v>
      </c>
      <c r="D48" s="13"/>
      <c r="E48" s="1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0"/>
    </row>
    <row r="49" spans="1:21" x14ac:dyDescent="0.3">
      <c r="A49" s="13"/>
      <c r="B49" s="13"/>
      <c r="C49" s="145" t="s">
        <v>132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133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134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135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136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137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138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x14ac:dyDescent="0.3">
      <c r="A56" s="13"/>
      <c r="B56" s="13"/>
      <c r="C56" s="145" t="s">
        <v>139</v>
      </c>
      <c r="D56" s="13"/>
      <c r="E56" s="1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0"/>
    </row>
    <row r="57" spans="1:21" x14ac:dyDescent="0.3">
      <c r="A57" s="13"/>
      <c r="B57" s="13"/>
      <c r="C57" s="145" t="s">
        <v>140</v>
      </c>
      <c r="D57" s="13"/>
      <c r="E57" s="1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0"/>
    </row>
    <row r="58" spans="1:21" x14ac:dyDescent="0.3">
      <c r="A58" s="13"/>
      <c r="B58" s="13"/>
      <c r="C58" s="145"/>
      <c r="D58" s="13"/>
      <c r="E58" s="1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0"/>
    </row>
    <row r="59" spans="1:21" s="119" customFormat="1" ht="14.4" customHeight="1" x14ac:dyDescent="0.3">
      <c r="A59" s="168"/>
      <c r="B59" s="168"/>
      <c r="C59" s="169" t="s">
        <v>141</v>
      </c>
      <c r="D59" s="168"/>
      <c r="E59" s="168"/>
      <c r="F59" s="170">
        <f>SUM(F43:F57)</f>
        <v>-8250</v>
      </c>
      <c r="G59" s="170">
        <f>SUM(G43:G57)</f>
        <v>-8250</v>
      </c>
      <c r="H59" s="170">
        <f t="shared" ref="H59:T59" si="8">SUM(H43:H57)</f>
        <v>-8250</v>
      </c>
      <c r="I59" s="170">
        <f t="shared" si="8"/>
        <v>-8250</v>
      </c>
      <c r="J59" s="170">
        <f t="shared" si="8"/>
        <v>-8250</v>
      </c>
      <c r="K59" s="170">
        <f t="shared" si="8"/>
        <v>-8250</v>
      </c>
      <c r="L59" s="170">
        <f t="shared" si="8"/>
        <v>-8250</v>
      </c>
      <c r="M59" s="170">
        <f t="shared" si="8"/>
        <v>-8250</v>
      </c>
      <c r="N59" s="170">
        <f t="shared" si="8"/>
        <v>-8250</v>
      </c>
      <c r="O59" s="170">
        <f t="shared" si="8"/>
        <v>-8250</v>
      </c>
      <c r="P59" s="170">
        <f t="shared" si="8"/>
        <v>-8250</v>
      </c>
      <c r="Q59" s="170">
        <f t="shared" si="8"/>
        <v>-8250</v>
      </c>
      <c r="R59" s="170">
        <f t="shared" si="8"/>
        <v>-8250</v>
      </c>
      <c r="S59" s="170">
        <f t="shared" si="8"/>
        <v>-8250</v>
      </c>
      <c r="T59" s="170">
        <f t="shared" si="8"/>
        <v>-8250</v>
      </c>
      <c r="U59" s="162">
        <f t="shared" si="6"/>
        <v>-99000</v>
      </c>
    </row>
    <row r="60" spans="1:21" s="119" customFormat="1" ht="14.4" customHeight="1" x14ac:dyDescent="0.3">
      <c r="A60" s="171"/>
      <c r="B60" s="171"/>
      <c r="C60" s="172" t="s">
        <v>10</v>
      </c>
      <c r="D60" s="171"/>
      <c r="E60" s="171"/>
      <c r="F60" s="173">
        <f>F17+F18+F39+F59</f>
        <v>525148.22800000012</v>
      </c>
      <c r="G60" s="173">
        <f t="shared" ref="G60:T60" si="9">G17+G18+G39+G59</f>
        <v>532778.89199999999</v>
      </c>
      <c r="H60" s="173">
        <f t="shared" si="9"/>
        <v>538444.55599999998</v>
      </c>
      <c r="I60" s="173">
        <f t="shared" si="9"/>
        <v>543995.22</v>
      </c>
      <c r="J60" s="173">
        <f t="shared" si="9"/>
        <v>541682.38800000004</v>
      </c>
      <c r="K60" s="173">
        <f t="shared" si="9"/>
        <v>545257.17799999996</v>
      </c>
      <c r="L60" s="173">
        <f t="shared" si="9"/>
        <v>557100.46400000004</v>
      </c>
      <c r="M60" s="173">
        <f t="shared" si="9"/>
        <v>554256.75799999991</v>
      </c>
      <c r="N60" s="173">
        <f t="shared" si="9"/>
        <v>570561.79200000002</v>
      </c>
      <c r="O60" s="173">
        <f t="shared" si="9"/>
        <v>572599.18699999992</v>
      </c>
      <c r="P60" s="173">
        <f t="shared" si="9"/>
        <v>561956.33799999999</v>
      </c>
      <c r="Q60" s="173">
        <f t="shared" si="9"/>
        <v>565293.73300000001</v>
      </c>
      <c r="R60" s="173">
        <f t="shared" si="9"/>
        <v>583150</v>
      </c>
      <c r="S60" s="173">
        <f t="shared" si="9"/>
        <v>590575</v>
      </c>
      <c r="T60" s="173">
        <f t="shared" si="9"/>
        <v>550720</v>
      </c>
      <c r="U60" s="156">
        <f t="shared" si="6"/>
        <v>6609074.7340000002</v>
      </c>
    </row>
    <row r="61" spans="1:21" s="119" customFormat="1" ht="14.4" customHeight="1" x14ac:dyDescent="0.3">
      <c r="A61" s="117"/>
      <c r="B61" s="117"/>
      <c r="C61" s="146" t="s">
        <v>142</v>
      </c>
      <c r="D61" s="117"/>
      <c r="E61" s="117"/>
      <c r="F61" s="381">
        <v>-1450</v>
      </c>
      <c r="G61" s="381">
        <v>-1450</v>
      </c>
      <c r="H61" s="381">
        <v>-1450</v>
      </c>
      <c r="I61" s="381">
        <v>-1450</v>
      </c>
      <c r="J61" s="381">
        <v>-1450</v>
      </c>
      <c r="K61" s="381">
        <v>-1450</v>
      </c>
      <c r="L61" s="381">
        <v>-1450</v>
      </c>
      <c r="M61" s="381">
        <v>-1450</v>
      </c>
      <c r="N61" s="381">
        <v>-1450</v>
      </c>
      <c r="O61" s="381">
        <v>-1450</v>
      </c>
      <c r="P61" s="381">
        <v>-1450</v>
      </c>
      <c r="Q61" s="381">
        <v>-1850</v>
      </c>
      <c r="R61" s="381">
        <v>-1850</v>
      </c>
      <c r="S61" s="381">
        <v>-1850</v>
      </c>
      <c r="T61" s="381">
        <v>-1850</v>
      </c>
      <c r="U61" s="382">
        <f t="shared" si="6"/>
        <v>-17800</v>
      </c>
    </row>
    <row r="62" spans="1:21" s="119" customFormat="1" ht="25.05" customHeight="1" x14ac:dyDescent="0.3">
      <c r="A62" s="117"/>
      <c r="B62" s="117"/>
      <c r="C62" s="146" t="s">
        <v>12</v>
      </c>
      <c r="D62" s="117"/>
      <c r="E62" s="117"/>
      <c r="F62" s="382">
        <f>F60+F61</f>
        <v>523698.22800000012</v>
      </c>
      <c r="G62" s="382">
        <f t="shared" ref="G62:T62" si="10">G60+G61</f>
        <v>531328.89199999999</v>
      </c>
      <c r="H62" s="382">
        <f t="shared" si="10"/>
        <v>536994.55599999998</v>
      </c>
      <c r="I62" s="382">
        <f t="shared" si="10"/>
        <v>542545.22</v>
      </c>
      <c r="J62" s="382">
        <f t="shared" si="10"/>
        <v>540232.38800000004</v>
      </c>
      <c r="K62" s="382">
        <f t="shared" si="10"/>
        <v>543807.17799999996</v>
      </c>
      <c r="L62" s="382">
        <f t="shared" si="10"/>
        <v>555650.46400000004</v>
      </c>
      <c r="M62" s="382">
        <f t="shared" si="10"/>
        <v>552806.75799999991</v>
      </c>
      <c r="N62" s="382">
        <f t="shared" si="10"/>
        <v>569111.79200000002</v>
      </c>
      <c r="O62" s="382">
        <f t="shared" si="10"/>
        <v>571149.18699999992</v>
      </c>
      <c r="P62" s="382">
        <f t="shared" si="10"/>
        <v>560506.33799999999</v>
      </c>
      <c r="Q62" s="382">
        <f t="shared" si="10"/>
        <v>563443.73300000001</v>
      </c>
      <c r="R62" s="382">
        <f t="shared" si="10"/>
        <v>581300</v>
      </c>
      <c r="S62" s="382">
        <f t="shared" si="10"/>
        <v>588725</v>
      </c>
      <c r="T62" s="382">
        <f t="shared" si="10"/>
        <v>548870</v>
      </c>
      <c r="U62" s="382">
        <f t="shared" si="6"/>
        <v>6591274.7340000002</v>
      </c>
    </row>
    <row r="63" spans="1:21" s="119" customFormat="1" ht="25.05" customHeight="1" x14ac:dyDescent="0.3">
      <c r="A63" s="117"/>
      <c r="B63" s="117"/>
      <c r="C63" s="147" t="s">
        <v>143</v>
      </c>
      <c r="D63" s="148"/>
      <c r="E63" s="117"/>
      <c r="F63" s="382">
        <f>('BS 2025'!F27*0.2)</f>
        <v>-69636.800000000003</v>
      </c>
      <c r="G63" s="382">
        <f>('BS 2025'!G27*0.2)</f>
        <v>-66273.2</v>
      </c>
      <c r="H63" s="382">
        <f>('BS 2025'!H27*0.2)</f>
        <v>-62909.600000000006</v>
      </c>
      <c r="I63" s="382">
        <f>('BS 2025'!I27*0.2)</f>
        <v>-59546</v>
      </c>
      <c r="J63" s="382">
        <f>('BS 2025'!J27*0.2)</f>
        <v>-56182.400000000001</v>
      </c>
      <c r="K63" s="382">
        <f>('BS 2025'!K27*0.2)</f>
        <v>-52818.8</v>
      </c>
      <c r="L63" s="382">
        <f>('BS 2025'!L27*0.2)</f>
        <v>-49455.200000000004</v>
      </c>
      <c r="M63" s="382">
        <f>('BS 2025'!M27*0.2)</f>
        <v>-46091.600000000006</v>
      </c>
      <c r="N63" s="382">
        <f>('BS 2025'!N27*0.2)</f>
        <v>-42728</v>
      </c>
      <c r="O63" s="382">
        <f>('BS 2025'!O27*0.2)</f>
        <v>-39364.400000000001</v>
      </c>
      <c r="P63" s="382">
        <f>('BS 2025'!P27*0.2)</f>
        <v>-36000.800000000003</v>
      </c>
      <c r="Q63" s="382">
        <f>('BS 2025'!Q27*0.2)</f>
        <v>-32637.200000000001</v>
      </c>
      <c r="R63" s="382">
        <f>('BS 2025'!R27*0.2)</f>
        <v>-28216.800000000003</v>
      </c>
      <c r="S63" s="382">
        <f>('BS 2025'!S27*0.2)</f>
        <v>-23796.400000000001</v>
      </c>
      <c r="T63" s="382">
        <f>('BS 2025'!T27*0.2)</f>
        <v>-19376</v>
      </c>
      <c r="U63" s="382">
        <f t="shared" si="6"/>
        <v>-613644</v>
      </c>
    </row>
    <row r="64" spans="1:21" s="119" customFormat="1" ht="25.05" customHeight="1" x14ac:dyDescent="0.3">
      <c r="A64" s="117"/>
      <c r="B64" s="117"/>
      <c r="C64" s="146" t="s">
        <v>14</v>
      </c>
      <c r="D64" s="117"/>
      <c r="E64" s="117"/>
      <c r="F64" s="382">
        <f>F60</f>
        <v>525148.22800000012</v>
      </c>
      <c r="G64" s="382">
        <f t="shared" ref="G64:T64" si="11">G60</f>
        <v>532778.89199999999</v>
      </c>
      <c r="H64" s="382">
        <f t="shared" si="11"/>
        <v>538444.55599999998</v>
      </c>
      <c r="I64" s="382">
        <f t="shared" si="11"/>
        <v>543995.22</v>
      </c>
      <c r="J64" s="382">
        <f t="shared" si="11"/>
        <v>541682.38800000004</v>
      </c>
      <c r="K64" s="382">
        <f t="shared" si="11"/>
        <v>545257.17799999996</v>
      </c>
      <c r="L64" s="382">
        <f t="shared" si="11"/>
        <v>557100.46400000004</v>
      </c>
      <c r="M64" s="382">
        <f t="shared" si="11"/>
        <v>554256.75799999991</v>
      </c>
      <c r="N64" s="382">
        <f t="shared" si="11"/>
        <v>570561.79200000002</v>
      </c>
      <c r="O64" s="382">
        <f t="shared" si="11"/>
        <v>572599.18699999992</v>
      </c>
      <c r="P64" s="382">
        <f t="shared" si="11"/>
        <v>561956.33799999999</v>
      </c>
      <c r="Q64" s="382">
        <f t="shared" si="11"/>
        <v>565293.73300000001</v>
      </c>
      <c r="R64" s="382">
        <f t="shared" si="11"/>
        <v>583150</v>
      </c>
      <c r="S64" s="382">
        <f t="shared" si="11"/>
        <v>590575</v>
      </c>
      <c r="T64" s="382">
        <f t="shared" si="11"/>
        <v>550720</v>
      </c>
      <c r="U64" s="382">
        <f t="shared" si="6"/>
        <v>6609074.7340000002</v>
      </c>
    </row>
    <row r="65" spans="1:21" s="119" customFormat="1" ht="25.05" customHeight="1" x14ac:dyDescent="0.3">
      <c r="A65" s="117"/>
      <c r="B65" s="117"/>
      <c r="C65" s="147" t="s">
        <v>15</v>
      </c>
      <c r="D65" s="117"/>
      <c r="E65" s="117"/>
      <c r="F65" s="382">
        <f>(F64*0.2)*-1</f>
        <v>-105029.64560000003</v>
      </c>
      <c r="G65" s="382">
        <f t="shared" ref="G65:T65" si="12">(G64*0.2)*-1</f>
        <v>-106555.77840000001</v>
      </c>
      <c r="H65" s="382">
        <f t="shared" si="12"/>
        <v>-107688.9112</v>
      </c>
      <c r="I65" s="382">
        <f t="shared" si="12"/>
        <v>-108799.04399999999</v>
      </c>
      <c r="J65" s="382">
        <f t="shared" si="12"/>
        <v>-108336.47760000001</v>
      </c>
      <c r="K65" s="382">
        <f t="shared" si="12"/>
        <v>-109051.4356</v>
      </c>
      <c r="L65" s="382">
        <f t="shared" si="12"/>
        <v>-111420.09280000001</v>
      </c>
      <c r="M65" s="382">
        <f t="shared" si="12"/>
        <v>-110851.35159999999</v>
      </c>
      <c r="N65" s="382">
        <f t="shared" si="12"/>
        <v>-114112.35840000001</v>
      </c>
      <c r="O65" s="382">
        <f t="shared" si="12"/>
        <v>-114519.83739999999</v>
      </c>
      <c r="P65" s="382">
        <f t="shared" si="12"/>
        <v>-112391.26760000001</v>
      </c>
      <c r="Q65" s="382">
        <f t="shared" si="12"/>
        <v>-113058.74660000001</v>
      </c>
      <c r="R65" s="382">
        <f t="shared" si="12"/>
        <v>-116630</v>
      </c>
      <c r="S65" s="382">
        <f t="shared" si="12"/>
        <v>-118115</v>
      </c>
      <c r="T65" s="382">
        <f t="shared" si="12"/>
        <v>-110144</v>
      </c>
      <c r="U65" s="382">
        <f t="shared" si="6"/>
        <v>-1321814.9468</v>
      </c>
    </row>
    <row r="66" spans="1:21" s="119" customFormat="1" ht="14.4" customHeight="1" x14ac:dyDescent="0.3">
      <c r="A66" s="174"/>
      <c r="B66" s="174"/>
      <c r="C66" s="175" t="s">
        <v>16</v>
      </c>
      <c r="D66" s="174"/>
      <c r="E66" s="174"/>
      <c r="F66" s="309">
        <f>F64+F65</f>
        <v>420118.58240000007</v>
      </c>
      <c r="G66" s="309">
        <f t="shared" ref="G66:T66" si="13">G64+G65</f>
        <v>426223.11359999998</v>
      </c>
      <c r="H66" s="309">
        <f t="shared" si="13"/>
        <v>430755.64480000001</v>
      </c>
      <c r="I66" s="309">
        <f t="shared" si="13"/>
        <v>435196.17599999998</v>
      </c>
      <c r="J66" s="309">
        <f t="shared" si="13"/>
        <v>433345.91040000005</v>
      </c>
      <c r="K66" s="309">
        <f t="shared" si="13"/>
        <v>436205.74239999999</v>
      </c>
      <c r="L66" s="309">
        <f t="shared" si="13"/>
        <v>445680.37120000005</v>
      </c>
      <c r="M66" s="309">
        <f t="shared" si="13"/>
        <v>443405.40639999992</v>
      </c>
      <c r="N66" s="309">
        <f t="shared" si="13"/>
        <v>456449.43359999999</v>
      </c>
      <c r="O66" s="309">
        <f t="shared" si="13"/>
        <v>458079.34959999996</v>
      </c>
      <c r="P66" s="309">
        <f t="shared" si="13"/>
        <v>449565.07039999997</v>
      </c>
      <c r="Q66" s="309">
        <f t="shared" si="13"/>
        <v>452234.98639999999</v>
      </c>
      <c r="R66" s="309">
        <f t="shared" si="13"/>
        <v>466520</v>
      </c>
      <c r="S66" s="309">
        <f t="shared" si="13"/>
        <v>472460</v>
      </c>
      <c r="T66" s="309">
        <f t="shared" si="13"/>
        <v>440576</v>
      </c>
      <c r="U66" s="310">
        <f t="shared" si="6"/>
        <v>5287259.7871999992</v>
      </c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</sheetData>
  <phoneticPr fontId="7" type="noConversion"/>
  <pageMargins left="0.7" right="0.7" top="0.75" bottom="0.75" header="0.3" footer="0.3"/>
  <ignoredErrors>
    <ignoredError sqref="U1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05BE-4402-4643-B0BD-9FE38298D4FD}">
  <sheetPr codeName="Sheet28"/>
  <dimension ref="A2:W60"/>
  <sheetViews>
    <sheetView showGridLines="0" workbookViewId="0">
      <selection activeCell="B12" sqref="B12:B16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5" max="15" width="9.6640625" customWidth="1"/>
    <col min="17" max="17" width="9.88671875" bestFit="1" customWidth="1"/>
    <col min="18" max="18" width="9.88671875" customWidth="1"/>
    <col min="19" max="19" width="9.5546875" customWidth="1"/>
    <col min="22" max="22" width="10.6640625" bestFit="1" customWidth="1"/>
    <col min="23" max="23" width="10.21875" bestFit="1" customWidth="1"/>
  </cols>
  <sheetData>
    <row r="2" spans="1:22" ht="18" x14ac:dyDescent="0.35">
      <c r="A2" s="139" t="s">
        <v>149</v>
      </c>
      <c r="C2" s="138"/>
      <c r="D2" s="13"/>
    </row>
    <row r="3" spans="1:22" x14ac:dyDescent="0.3">
      <c r="A3" s="137" t="s">
        <v>150</v>
      </c>
      <c r="C3" s="23"/>
    </row>
    <row r="4" spans="1:22" x14ac:dyDescent="0.3">
      <c r="A4" s="137"/>
      <c r="C4" s="23"/>
    </row>
    <row r="6" spans="1:22" x14ac:dyDescent="0.3">
      <c r="B6" s="23" t="s">
        <v>197</v>
      </c>
    </row>
    <row r="7" spans="1:22" x14ac:dyDescent="0.3">
      <c r="A7" s="149"/>
      <c r="B7" s="181" t="s">
        <v>70</v>
      </c>
      <c r="C7" s="154"/>
      <c r="D7" s="154"/>
      <c r="E7" s="154"/>
      <c r="F7" s="154"/>
      <c r="G7" s="183">
        <v>45658</v>
      </c>
      <c r="H7" s="183">
        <v>45689</v>
      </c>
      <c r="I7" s="183">
        <v>45717</v>
      </c>
      <c r="J7" s="183">
        <v>45748</v>
      </c>
      <c r="K7" s="183">
        <v>45778</v>
      </c>
      <c r="L7" s="183">
        <v>45809</v>
      </c>
      <c r="M7" s="183">
        <v>45839</v>
      </c>
      <c r="N7" s="183">
        <v>45870</v>
      </c>
      <c r="O7" s="183">
        <v>45901</v>
      </c>
      <c r="P7" s="183">
        <v>45931</v>
      </c>
      <c r="Q7" s="183">
        <v>45962</v>
      </c>
      <c r="R7" s="183">
        <v>45992</v>
      </c>
      <c r="S7" s="183">
        <v>46023</v>
      </c>
      <c r="T7" s="183">
        <v>46054</v>
      </c>
      <c r="U7" s="183">
        <v>46082</v>
      </c>
      <c r="V7" s="183" t="s">
        <v>78</v>
      </c>
    </row>
    <row r="9" spans="1:22" x14ac:dyDescent="0.3">
      <c r="B9" s="23" t="s">
        <v>149</v>
      </c>
    </row>
    <row r="10" spans="1:22" x14ac:dyDescent="0.3">
      <c r="A10" s="154"/>
      <c r="B10" s="181" t="s">
        <v>152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</row>
    <row r="11" spans="1:22" x14ac:dyDescent="0.3">
      <c r="B11" s="356" t="s">
        <v>44</v>
      </c>
      <c r="C11" s="357"/>
      <c r="D11" s="357"/>
      <c r="E11" s="357"/>
      <c r="F11" s="357"/>
      <c r="G11" s="358">
        <f t="shared" ref="G11:R11" si="0">SUM(G12:G17)</f>
        <v>546073.22800000012</v>
      </c>
      <c r="H11" s="358">
        <f t="shared" si="0"/>
        <v>553703.89199999999</v>
      </c>
      <c r="I11" s="358">
        <f t="shared" si="0"/>
        <v>559369.55599999998</v>
      </c>
      <c r="J11" s="358">
        <f t="shared" si="0"/>
        <v>564920.22</v>
      </c>
      <c r="K11" s="358">
        <f t="shared" si="0"/>
        <v>562607.38800000004</v>
      </c>
      <c r="L11" s="358">
        <f t="shared" si="0"/>
        <v>566182.17799999996</v>
      </c>
      <c r="M11" s="358">
        <f t="shared" si="0"/>
        <v>578025.46400000004</v>
      </c>
      <c r="N11" s="358">
        <f t="shared" si="0"/>
        <v>575181.75799999991</v>
      </c>
      <c r="O11" s="358">
        <f t="shared" si="0"/>
        <v>591486.79200000002</v>
      </c>
      <c r="P11" s="358">
        <f t="shared" si="0"/>
        <v>593524.18699999992</v>
      </c>
      <c r="Q11" s="358">
        <f t="shared" si="0"/>
        <v>582881.33799999999</v>
      </c>
      <c r="R11" s="358">
        <f t="shared" si="0"/>
        <v>586218.73300000001</v>
      </c>
      <c r="S11" s="223">
        <f>'CF 2026'!G11</f>
        <v>604075</v>
      </c>
      <c r="T11" s="223">
        <f>'CF 2026'!H11</f>
        <v>611500</v>
      </c>
      <c r="U11" s="223">
        <f>'CF 2026'!I11</f>
        <v>571645</v>
      </c>
      <c r="V11" s="223">
        <f>SUM(G11:R11)</f>
        <v>6860174.7340000002</v>
      </c>
    </row>
    <row r="12" spans="1:22" x14ac:dyDescent="0.3">
      <c r="B12" s="145" t="s">
        <v>337</v>
      </c>
      <c r="C12" s="357"/>
      <c r="D12" s="357"/>
      <c r="E12" s="357"/>
      <c r="F12" s="357"/>
      <c r="G12" s="358">
        <f>'IS 2025'!F12</f>
        <v>16779.636000000002</v>
      </c>
      <c r="H12" s="358">
        <f>'IS 2025'!G12</f>
        <v>17016.803999999996</v>
      </c>
      <c r="I12" s="358">
        <f>'IS 2025'!H12</f>
        <v>17253.971999999998</v>
      </c>
      <c r="J12" s="358">
        <f>'IS 2025'!I12</f>
        <v>17491.14</v>
      </c>
      <c r="K12" s="358">
        <f>'IS 2025'!J12</f>
        <v>17372.556000000004</v>
      </c>
      <c r="L12" s="358">
        <f>'IS 2025'!K12</f>
        <v>17520.785999999996</v>
      </c>
      <c r="M12" s="358">
        <f>'IS 2025'!L12</f>
        <v>18024.768000000004</v>
      </c>
      <c r="N12" s="358">
        <f>'IS 2025'!M12</f>
        <v>17817.245999999996</v>
      </c>
      <c r="O12" s="358">
        <f>'IS 2025'!N12</f>
        <v>18499.104000000003</v>
      </c>
      <c r="P12" s="358">
        <f>'IS 2025'!O12</f>
        <v>18573.218999999997</v>
      </c>
      <c r="Q12" s="358">
        <f>'IS 2025'!P12</f>
        <v>18113.706000000002</v>
      </c>
      <c r="R12" s="358">
        <f>'IS 2025'!Q12</f>
        <v>18187.821</v>
      </c>
      <c r="S12" s="223">
        <f>'CF 2026'!G12</f>
        <v>18225</v>
      </c>
      <c r="T12" s="223">
        <f>'CF 2026'!H12</f>
        <v>18495</v>
      </c>
      <c r="U12" s="223">
        <f>'CF 2026'!I12</f>
        <v>17280</v>
      </c>
      <c r="V12" s="357"/>
    </row>
    <row r="13" spans="1:22" x14ac:dyDescent="0.3">
      <c r="B13" s="145" t="s">
        <v>338</v>
      </c>
      <c r="C13" s="357"/>
      <c r="D13" s="357"/>
      <c r="E13" s="357"/>
      <c r="F13" s="357"/>
      <c r="G13" s="358">
        <f>'IS 2025'!F13</f>
        <v>11780</v>
      </c>
      <c r="H13" s="358">
        <f>'IS 2025'!G13</f>
        <v>11970</v>
      </c>
      <c r="I13" s="358">
        <f>'IS 2025'!H13</f>
        <v>12160</v>
      </c>
      <c r="J13" s="358">
        <f>'IS 2025'!I13</f>
        <v>12350</v>
      </c>
      <c r="K13" s="358">
        <f>'IS 2025'!J13</f>
        <v>12255</v>
      </c>
      <c r="L13" s="358">
        <f>'IS 2025'!K13</f>
        <v>12350</v>
      </c>
      <c r="M13" s="358">
        <f>'IS 2025'!L13</f>
        <v>12730</v>
      </c>
      <c r="N13" s="358">
        <f>'IS 2025'!M13</f>
        <v>12540</v>
      </c>
      <c r="O13" s="358">
        <f>'IS 2025'!N13</f>
        <v>13015</v>
      </c>
      <c r="P13" s="358">
        <f>'IS 2025'!O13</f>
        <v>13110</v>
      </c>
      <c r="Q13" s="358">
        <f>'IS 2025'!P13</f>
        <v>12730</v>
      </c>
      <c r="R13" s="358">
        <f>'IS 2025'!Q13</f>
        <v>12825</v>
      </c>
      <c r="S13" s="223">
        <f>'CF 2026'!G13</f>
        <v>12825</v>
      </c>
      <c r="T13" s="223">
        <f>'CF 2026'!H13</f>
        <v>13015</v>
      </c>
      <c r="U13" s="223">
        <f>'CF 2026'!I13</f>
        <v>12160</v>
      </c>
      <c r="V13" s="357"/>
    </row>
    <row r="14" spans="1:22" x14ac:dyDescent="0.3">
      <c r="B14" s="145" t="s">
        <v>339</v>
      </c>
      <c r="C14" s="357"/>
      <c r="D14" s="357"/>
      <c r="E14" s="357"/>
      <c r="F14" s="357"/>
      <c r="G14" s="358">
        <f>'IS 2025'!F14</f>
        <v>28635</v>
      </c>
      <c r="H14" s="358">
        <f>'IS 2025'!G14</f>
        <v>28980</v>
      </c>
      <c r="I14" s="358">
        <f>'IS 2025'!H14</f>
        <v>29440</v>
      </c>
      <c r="J14" s="358">
        <f>'IS 2025'!I14</f>
        <v>29785</v>
      </c>
      <c r="K14" s="358">
        <f>'IS 2025'!J14</f>
        <v>29555</v>
      </c>
      <c r="L14" s="358">
        <f>'IS 2025'!K14</f>
        <v>29900</v>
      </c>
      <c r="M14" s="358">
        <f>'IS 2025'!L14</f>
        <v>30705</v>
      </c>
      <c r="N14" s="358">
        <f>'IS 2025'!M14</f>
        <v>30360</v>
      </c>
      <c r="O14" s="358">
        <f>'IS 2025'!N14</f>
        <v>31510</v>
      </c>
      <c r="P14" s="358">
        <f>'IS 2025'!O14</f>
        <v>31625</v>
      </c>
      <c r="Q14" s="358">
        <f>'IS 2025'!P14</f>
        <v>30820</v>
      </c>
      <c r="R14" s="358">
        <f>'IS 2025'!Q14</f>
        <v>30935</v>
      </c>
      <c r="S14" s="223">
        <f>'CF 2026'!G14</f>
        <v>32520</v>
      </c>
      <c r="T14" s="223">
        <f>'CF 2026'!H14</f>
        <v>32880</v>
      </c>
      <c r="U14" s="223">
        <f>'CF 2026'!I14</f>
        <v>30720</v>
      </c>
      <c r="V14" s="357"/>
    </row>
    <row r="15" spans="1:22" x14ac:dyDescent="0.3">
      <c r="B15" s="145" t="s">
        <v>340</v>
      </c>
      <c r="C15" s="357"/>
      <c r="D15" s="357"/>
      <c r="E15" s="357"/>
      <c r="F15" s="357"/>
      <c r="G15" s="358">
        <f>'IS 2025'!F15</f>
        <v>150800</v>
      </c>
      <c r="H15" s="358">
        <f>'IS 2025'!G15</f>
        <v>152880</v>
      </c>
      <c r="I15" s="358">
        <f>'IS 2025'!H15</f>
        <v>152880</v>
      </c>
      <c r="J15" s="358">
        <f>'IS 2025'!I15</f>
        <v>152880</v>
      </c>
      <c r="K15" s="358">
        <f>'IS 2025'!J15</f>
        <v>153400</v>
      </c>
      <c r="L15" s="358">
        <f>'IS 2025'!K15</f>
        <v>153400</v>
      </c>
      <c r="M15" s="358">
        <f>'IS 2025'!L15</f>
        <v>153400</v>
      </c>
      <c r="N15" s="358">
        <f>'IS 2025'!M15</f>
        <v>155480</v>
      </c>
      <c r="O15" s="358">
        <f>'IS 2025'!N15</f>
        <v>155740</v>
      </c>
      <c r="P15" s="358">
        <f>'IS 2025'!O15</f>
        <v>156000</v>
      </c>
      <c r="Q15" s="358">
        <f>'IS 2025'!P15</f>
        <v>156260</v>
      </c>
      <c r="R15" s="358">
        <f>'IS 2025'!Q15</f>
        <v>157820</v>
      </c>
      <c r="S15" s="223">
        <f>'CF 2026'!G15</f>
        <v>167215</v>
      </c>
      <c r="T15" s="223">
        <f>'CF 2026'!H15</f>
        <v>169335</v>
      </c>
      <c r="U15" s="223">
        <f>'CF 2026'!I15</f>
        <v>158205</v>
      </c>
      <c r="V15" s="357"/>
    </row>
    <row r="16" spans="1:22" x14ac:dyDescent="0.3">
      <c r="B16" s="145" t="s">
        <v>341</v>
      </c>
      <c r="C16" s="357"/>
      <c r="D16" s="357"/>
      <c r="E16" s="357"/>
      <c r="F16" s="357"/>
      <c r="G16" s="358">
        <f>'IS 2025'!F16</f>
        <v>338078.59200000006</v>
      </c>
      <c r="H16" s="358">
        <f>'IS 2025'!G16</f>
        <v>342857.08799999993</v>
      </c>
      <c r="I16" s="358">
        <f>'IS 2025'!H16</f>
        <v>347635.58399999997</v>
      </c>
      <c r="J16" s="358">
        <f>'IS 2025'!I16</f>
        <v>352414.07999999996</v>
      </c>
      <c r="K16" s="358">
        <f>'IS 2025'!J16</f>
        <v>350024.83200000005</v>
      </c>
      <c r="L16" s="358">
        <f>'IS 2025'!K16</f>
        <v>353011.39199999993</v>
      </c>
      <c r="M16" s="358">
        <f>'IS 2025'!L16</f>
        <v>363165.69600000005</v>
      </c>
      <c r="N16" s="358">
        <f>'IS 2025'!M16</f>
        <v>358984.51199999993</v>
      </c>
      <c r="O16" s="358">
        <f>'IS 2025'!N16</f>
        <v>372722.68800000002</v>
      </c>
      <c r="P16" s="358">
        <f>'IS 2025'!O16</f>
        <v>374215.96799999999</v>
      </c>
      <c r="Q16" s="358">
        <f>'IS 2025'!P16</f>
        <v>364957.63199999998</v>
      </c>
      <c r="R16" s="358">
        <f>'IS 2025'!Q16</f>
        <v>366450.91200000001</v>
      </c>
      <c r="S16" s="223">
        <f>'CF 2026'!G16</f>
        <v>373290</v>
      </c>
      <c r="T16" s="223">
        <f>'CF 2026'!H16</f>
        <v>377775</v>
      </c>
      <c r="U16" s="223">
        <f>'CF 2026'!I16</f>
        <v>353280</v>
      </c>
      <c r="V16" s="357"/>
    </row>
    <row r="17" spans="1:22" x14ac:dyDescent="0.3">
      <c r="B17" s="360"/>
      <c r="C17" s="357"/>
      <c r="D17" s="357"/>
      <c r="E17" s="357"/>
      <c r="F17" s="357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223"/>
      <c r="T17" s="223"/>
      <c r="U17" s="223"/>
      <c r="V17" s="357"/>
    </row>
    <row r="18" spans="1:22" x14ac:dyDescent="0.3">
      <c r="B18" s="356" t="s">
        <v>45</v>
      </c>
      <c r="C18" s="357"/>
      <c r="D18" s="357"/>
      <c r="E18" s="357"/>
      <c r="F18" s="357"/>
      <c r="G18" s="358">
        <f>'CF 2024'!S18</f>
        <v>-625</v>
      </c>
      <c r="H18" s="358">
        <f>'CF 2024'!T18</f>
        <v>-625</v>
      </c>
      <c r="I18" s="358">
        <f>'CF 2024'!U18</f>
        <v>-625</v>
      </c>
      <c r="J18" s="358">
        <v>-625</v>
      </c>
      <c r="K18" s="358">
        <v>-625</v>
      </c>
      <c r="L18" s="358">
        <v>-625</v>
      </c>
      <c r="M18" s="358">
        <v>-625</v>
      </c>
      <c r="N18" s="358">
        <v>-625</v>
      </c>
      <c r="O18" s="358">
        <v>-625</v>
      </c>
      <c r="P18" s="358">
        <v>-625</v>
      </c>
      <c r="Q18" s="358">
        <v>-625</v>
      </c>
      <c r="R18" s="358">
        <v>-625</v>
      </c>
      <c r="S18" s="358">
        <v>-625</v>
      </c>
      <c r="T18" s="358">
        <v>-625</v>
      </c>
      <c r="U18" s="358">
        <v>-625</v>
      </c>
      <c r="V18" s="223">
        <f>SUM(G18:R18)</f>
        <v>-7500</v>
      </c>
    </row>
    <row r="19" spans="1:22" x14ac:dyDescent="0.3">
      <c r="B19" s="356" t="s">
        <v>153</v>
      </c>
      <c r="C19" s="357"/>
      <c r="D19" s="357"/>
      <c r="E19" s="357"/>
      <c r="F19" s="357"/>
      <c r="G19" s="358">
        <f>'IS 2025'!F63</f>
        <v>-69636.800000000003</v>
      </c>
      <c r="H19" s="358">
        <f>'IS 2025'!G63</f>
        <v>-66273.2</v>
      </c>
      <c r="I19" s="358">
        <f>'IS 2025'!H63</f>
        <v>-62909.600000000006</v>
      </c>
      <c r="J19" s="358">
        <f>'IS 2025'!I63</f>
        <v>-59546</v>
      </c>
      <c r="K19" s="358">
        <f>'IS 2025'!J63</f>
        <v>-56182.400000000001</v>
      </c>
      <c r="L19" s="358">
        <f>'IS 2025'!K63</f>
        <v>-52818.8</v>
      </c>
      <c r="M19" s="358">
        <f>'IS 2025'!L63</f>
        <v>-49455.200000000004</v>
      </c>
      <c r="N19" s="358">
        <f>'IS 2025'!M63</f>
        <v>-46091.600000000006</v>
      </c>
      <c r="O19" s="358">
        <f>'IS 2025'!N63</f>
        <v>-42728</v>
      </c>
      <c r="P19" s="358">
        <f>'IS 2025'!O63</f>
        <v>-39364.400000000001</v>
      </c>
      <c r="Q19" s="358">
        <f>'IS 2025'!P63</f>
        <v>-36000.800000000003</v>
      </c>
      <c r="R19" s="358">
        <f>'IS 2025'!Q63</f>
        <v>-32637.200000000001</v>
      </c>
      <c r="S19" s="358">
        <f>'IS 2025'!R63</f>
        <v>-28216.800000000003</v>
      </c>
      <c r="T19" s="358">
        <f>'IS 2025'!S63</f>
        <v>-23796.400000000001</v>
      </c>
      <c r="U19" s="358">
        <f>'IS 2025'!T63</f>
        <v>-19376</v>
      </c>
      <c r="V19" s="357"/>
    </row>
    <row r="20" spans="1:22" x14ac:dyDescent="0.3">
      <c r="B20" s="356" t="s">
        <v>154</v>
      </c>
      <c r="C20" s="357"/>
      <c r="D20" s="357"/>
      <c r="E20" s="357"/>
      <c r="F20" s="357"/>
      <c r="G20" s="358">
        <f>'IS 2025'!F65</f>
        <v>-105029.64560000003</v>
      </c>
      <c r="H20" s="358">
        <f>'IS 2025'!G65</f>
        <v>-106555.77840000001</v>
      </c>
      <c r="I20" s="358">
        <f>'IS 2025'!H65</f>
        <v>-107688.9112</v>
      </c>
      <c r="J20" s="358">
        <f>'IS 2025'!I65</f>
        <v>-108799.04399999999</v>
      </c>
      <c r="K20" s="358">
        <f>'IS 2025'!J65</f>
        <v>-108336.47760000001</v>
      </c>
      <c r="L20" s="358">
        <f>'IS 2025'!K65</f>
        <v>-109051.4356</v>
      </c>
      <c r="M20" s="358">
        <f>'IS 2025'!L65</f>
        <v>-111420.09280000001</v>
      </c>
      <c r="N20" s="358">
        <f>'IS 2025'!M65</f>
        <v>-110851.35159999999</v>
      </c>
      <c r="O20" s="358">
        <f>'IS 2025'!N65</f>
        <v>-114112.35840000001</v>
      </c>
      <c r="P20" s="358">
        <f>'IS 2025'!O65</f>
        <v>-114519.83739999999</v>
      </c>
      <c r="Q20" s="358">
        <f>'IS 2025'!P65</f>
        <v>-112391.26760000001</v>
      </c>
      <c r="R20" s="358">
        <f>'IS 2025'!Q65</f>
        <v>-113058.74660000001</v>
      </c>
      <c r="S20" s="358">
        <f>'IS 2025'!R65</f>
        <v>-116630</v>
      </c>
      <c r="T20" s="358">
        <f>'IS 2025'!S65</f>
        <v>-118115</v>
      </c>
      <c r="U20" s="358">
        <f>'IS 2025'!T65</f>
        <v>-110144</v>
      </c>
      <c r="V20" s="357"/>
    </row>
    <row r="21" spans="1:22" x14ac:dyDescent="0.3">
      <c r="A21" s="154"/>
      <c r="B21" s="184" t="s">
        <v>155</v>
      </c>
      <c r="C21" s="154"/>
      <c r="D21" s="154"/>
      <c r="E21" s="154"/>
      <c r="F21" s="154"/>
      <c r="G21" s="217">
        <f t="shared" ref="G21:U21" si="1">G11</f>
        <v>546073.22800000012</v>
      </c>
      <c r="H21" s="217">
        <f t="shared" si="1"/>
        <v>553703.89199999999</v>
      </c>
      <c r="I21" s="217">
        <f t="shared" si="1"/>
        <v>559369.55599999998</v>
      </c>
      <c r="J21" s="217">
        <f t="shared" si="1"/>
        <v>564920.22</v>
      </c>
      <c r="K21" s="217">
        <f t="shared" si="1"/>
        <v>562607.38800000004</v>
      </c>
      <c r="L21" s="217">
        <f t="shared" si="1"/>
        <v>566182.17799999996</v>
      </c>
      <c r="M21" s="217">
        <f t="shared" si="1"/>
        <v>578025.46400000004</v>
      </c>
      <c r="N21" s="217">
        <f t="shared" si="1"/>
        <v>575181.75799999991</v>
      </c>
      <c r="O21" s="217">
        <f t="shared" si="1"/>
        <v>591486.79200000002</v>
      </c>
      <c r="P21" s="217">
        <f t="shared" si="1"/>
        <v>593524.18699999992</v>
      </c>
      <c r="Q21" s="217">
        <f t="shared" si="1"/>
        <v>582881.33799999999</v>
      </c>
      <c r="R21" s="217">
        <f t="shared" si="1"/>
        <v>586218.73300000001</v>
      </c>
      <c r="S21" s="162">
        <f t="shared" si="1"/>
        <v>604075</v>
      </c>
      <c r="T21" s="162">
        <f t="shared" si="1"/>
        <v>611500</v>
      </c>
      <c r="U21" s="162">
        <f t="shared" si="1"/>
        <v>571645</v>
      </c>
      <c r="V21" s="162">
        <f>SUM(G21:R21)</f>
        <v>6860174.7340000002</v>
      </c>
    </row>
    <row r="22" spans="1:22" x14ac:dyDescent="0.3">
      <c r="A22" s="155"/>
      <c r="B22" s="210" t="s">
        <v>156</v>
      </c>
      <c r="C22" s="155"/>
      <c r="D22" s="155"/>
      <c r="E22" s="155"/>
      <c r="F22" s="155"/>
      <c r="G22" s="218">
        <f t="shared" ref="G22:J22" si="2">SUM(G18:G20)</f>
        <v>-175291.44560000004</v>
      </c>
      <c r="H22" s="218">
        <f t="shared" si="2"/>
        <v>-173453.97840000002</v>
      </c>
      <c r="I22" s="218">
        <f t="shared" si="2"/>
        <v>-171223.51120000001</v>
      </c>
      <c r="J22" s="218">
        <f t="shared" si="2"/>
        <v>-168970.04399999999</v>
      </c>
      <c r="K22" s="218">
        <f t="shared" ref="K22:R22" si="3">SUM(K18:K20)</f>
        <v>-165143.87760000001</v>
      </c>
      <c r="L22" s="218">
        <f t="shared" si="3"/>
        <v>-162495.23560000001</v>
      </c>
      <c r="M22" s="218">
        <f t="shared" si="3"/>
        <v>-161500.29280000002</v>
      </c>
      <c r="N22" s="218">
        <f t="shared" si="3"/>
        <v>-157567.9516</v>
      </c>
      <c r="O22" s="218">
        <f t="shared" si="3"/>
        <v>-157465.35840000003</v>
      </c>
      <c r="P22" s="218">
        <f t="shared" si="3"/>
        <v>-154509.23739999998</v>
      </c>
      <c r="Q22" s="218">
        <f t="shared" si="3"/>
        <v>-149017.06760000001</v>
      </c>
      <c r="R22" s="218">
        <f t="shared" si="3"/>
        <v>-146320.94660000002</v>
      </c>
      <c r="S22" s="156">
        <f t="shared" ref="S22:U22" si="4">SUM(S18:S20)</f>
        <v>-145471.79999999999</v>
      </c>
      <c r="T22" s="156">
        <f t="shared" si="4"/>
        <v>-142536.4</v>
      </c>
      <c r="U22" s="156">
        <f t="shared" si="4"/>
        <v>-130145</v>
      </c>
      <c r="V22" s="156">
        <f>SUM(G22:R22)</f>
        <v>-1942958.9468</v>
      </c>
    </row>
    <row r="23" spans="1:22" x14ac:dyDescent="0.3">
      <c r="B23" s="157" t="s">
        <v>157</v>
      </c>
      <c r="C23" s="157"/>
      <c r="D23" s="157"/>
      <c r="E23" s="157"/>
      <c r="F23" s="157"/>
      <c r="G23" s="361">
        <f>'CF 2024'!S23</f>
        <v>370781.78240000008</v>
      </c>
      <c r="H23" s="361">
        <f>'CF 2024'!T23</f>
        <v>380249.91359999997</v>
      </c>
      <c r="I23" s="361">
        <f>'CF 2024'!U23</f>
        <v>388146.04479999997</v>
      </c>
      <c r="J23" s="361">
        <f t="shared" ref="J23" si="5">SUM(J21:J22)</f>
        <v>395950.17599999998</v>
      </c>
      <c r="K23" s="361">
        <f t="shared" ref="K23:R23" si="6">SUM(K21:K22)</f>
        <v>397463.51040000003</v>
      </c>
      <c r="L23" s="361">
        <f t="shared" si="6"/>
        <v>403686.94239999994</v>
      </c>
      <c r="M23" s="361">
        <f t="shared" si="6"/>
        <v>416525.17119999998</v>
      </c>
      <c r="N23" s="361">
        <f t="shared" si="6"/>
        <v>417613.80639999988</v>
      </c>
      <c r="O23" s="361">
        <f t="shared" si="6"/>
        <v>434021.43359999999</v>
      </c>
      <c r="P23" s="361">
        <f t="shared" si="6"/>
        <v>439014.94959999993</v>
      </c>
      <c r="Q23" s="361">
        <f t="shared" si="6"/>
        <v>433864.27039999998</v>
      </c>
      <c r="R23" s="361">
        <f t="shared" si="6"/>
        <v>439897.78639999998</v>
      </c>
      <c r="S23" s="158">
        <f>'CF 2026'!G23</f>
        <v>454803.20000000001</v>
      </c>
      <c r="T23" s="158">
        <f>'CF 2026'!H23</f>
        <v>465163.6</v>
      </c>
      <c r="U23" s="158">
        <f>'CF 2026'!I23</f>
        <v>437700</v>
      </c>
      <c r="V23" s="158">
        <f>SUM(G23:R23)</f>
        <v>4917215.7871999992</v>
      </c>
    </row>
    <row r="24" spans="1:22" x14ac:dyDescent="0.3">
      <c r="B24" s="157" t="s">
        <v>199</v>
      </c>
      <c r="C24" s="157"/>
      <c r="D24" s="157"/>
      <c r="E24" s="157"/>
      <c r="F24" s="157"/>
      <c r="G24" s="361">
        <f>'CF 2024'!S24</f>
        <v>369331.78240000008</v>
      </c>
      <c r="H24" s="361">
        <f>'CF 2024'!T24</f>
        <v>378799.91359999997</v>
      </c>
      <c r="I24" s="361">
        <f>'CF 2024'!U24</f>
        <v>386696.04479999997</v>
      </c>
      <c r="J24" s="361">
        <f>'IS 2024'!I60+J23</f>
        <v>394239.17599999998</v>
      </c>
      <c r="K24" s="361">
        <f>'IS 2024'!J60+K23</f>
        <v>395752.51040000003</v>
      </c>
      <c r="L24" s="361">
        <f>'IS 2024'!K60+L23</f>
        <v>401975.94239999994</v>
      </c>
      <c r="M24" s="361">
        <f>'IS 2024'!L60+M23</f>
        <v>414814.17119999998</v>
      </c>
      <c r="N24" s="361">
        <f>'IS 2024'!M60+N23</f>
        <v>415902.80639999988</v>
      </c>
      <c r="O24" s="361">
        <f>'IS 2024'!N60+O23</f>
        <v>432310.43359999999</v>
      </c>
      <c r="P24" s="361">
        <f>'IS 2024'!O60+P23</f>
        <v>437303.94959999993</v>
      </c>
      <c r="Q24" s="361">
        <f>'IS 2024'!P60+Q23</f>
        <v>432153.27039999998</v>
      </c>
      <c r="R24" s="361">
        <f>'IS 2024'!Q60+R23</f>
        <v>438186.78639999998</v>
      </c>
      <c r="S24" s="158">
        <f>'CF 2026'!G24</f>
        <v>452953.2</v>
      </c>
      <c r="T24" s="158">
        <f>'CF 2026'!H24</f>
        <v>-466613.6</v>
      </c>
      <c r="U24" s="158">
        <f>'CF 2026'!I24</f>
        <v>436250</v>
      </c>
      <c r="V24" s="158"/>
    </row>
    <row r="25" spans="1:22" x14ac:dyDescent="0.3">
      <c r="B25" s="362" t="s">
        <v>158</v>
      </c>
      <c r="C25" s="157"/>
      <c r="D25" s="157"/>
      <c r="E25" s="157"/>
      <c r="F25" s="157"/>
      <c r="G25" s="361">
        <f>'CF 2024'!S25</f>
        <v>0</v>
      </c>
      <c r="H25" s="361">
        <f>'CF 2024'!T25</f>
        <v>0</v>
      </c>
      <c r="I25" s="361">
        <f>'CF 2024'!U25</f>
        <v>0</v>
      </c>
      <c r="J25" s="363"/>
      <c r="K25" s="363"/>
      <c r="L25" s="363"/>
      <c r="M25" s="363"/>
      <c r="N25" s="363"/>
      <c r="O25" s="363"/>
      <c r="P25" s="363"/>
      <c r="Q25" s="363"/>
      <c r="R25" s="363"/>
      <c r="S25" s="158">
        <f>'CF 2026'!G25</f>
        <v>0</v>
      </c>
      <c r="T25" s="158">
        <f>'CF 2026'!H25</f>
        <v>0</v>
      </c>
      <c r="U25" s="158">
        <f>'CF 2026'!I25</f>
        <v>0</v>
      </c>
      <c r="V25" s="357"/>
    </row>
    <row r="26" spans="1:22" x14ac:dyDescent="0.3">
      <c r="B26" s="364" t="s">
        <v>159</v>
      </c>
      <c r="C26" s="157"/>
      <c r="D26" s="157"/>
      <c r="E26" s="157"/>
      <c r="F26" s="157"/>
      <c r="G26" s="361">
        <f>'CF 2024'!S26</f>
        <v>0</v>
      </c>
      <c r="H26" s="361">
        <f>'CF 2024'!T26</f>
        <v>0</v>
      </c>
      <c r="I26" s="361">
        <f>'CF 2024'!U26</f>
        <v>0</v>
      </c>
      <c r="J26" s="363"/>
      <c r="K26" s="363"/>
      <c r="L26" s="363"/>
      <c r="M26" s="363"/>
      <c r="N26" s="363"/>
      <c r="O26" s="363"/>
      <c r="P26" s="363"/>
      <c r="Q26" s="363"/>
      <c r="R26" s="363"/>
      <c r="S26" s="158">
        <f>'CF 2026'!G26</f>
        <v>0</v>
      </c>
      <c r="T26" s="158">
        <f>'CF 2026'!H26</f>
        <v>0</v>
      </c>
      <c r="U26" s="158">
        <f>'CF 2026'!I26</f>
        <v>0</v>
      </c>
      <c r="V26" s="357"/>
    </row>
    <row r="27" spans="1:22" x14ac:dyDescent="0.3">
      <c r="B27" s="365" t="s">
        <v>121</v>
      </c>
      <c r="C27" s="157"/>
      <c r="D27" s="157"/>
      <c r="E27" s="157"/>
      <c r="F27" s="157"/>
      <c r="G27" s="361">
        <f>'CF 2024'!S27</f>
        <v>0</v>
      </c>
      <c r="H27" s="361">
        <f>'CF 2024'!T27</f>
        <v>0</v>
      </c>
      <c r="I27" s="361">
        <f>'CF 2024'!U27</f>
        <v>0</v>
      </c>
      <c r="J27" s="363"/>
      <c r="K27" s="363"/>
      <c r="L27" s="363"/>
      <c r="M27" s="363"/>
      <c r="N27" s="363"/>
      <c r="O27" s="363"/>
      <c r="P27" s="363"/>
      <c r="Q27" s="363"/>
      <c r="R27" s="363"/>
      <c r="S27" s="373">
        <f>'CF 2026'!G27</f>
        <v>0</v>
      </c>
      <c r="T27" s="158">
        <f>'CF 2026'!H27</f>
        <v>0</v>
      </c>
      <c r="U27" s="158">
        <f>'CF 2026'!I27</f>
        <v>0</v>
      </c>
      <c r="V27" s="357"/>
    </row>
    <row r="28" spans="1:22" x14ac:dyDescent="0.3">
      <c r="B28" s="364" t="s">
        <v>160</v>
      </c>
      <c r="C28" s="157"/>
      <c r="D28" s="157"/>
      <c r="E28" s="157"/>
      <c r="F28" s="157"/>
      <c r="G28" s="361">
        <f>'CF 2024'!S28</f>
        <v>0</v>
      </c>
      <c r="H28" s="361">
        <f>'CF 2024'!T28</f>
        <v>0</v>
      </c>
      <c r="I28" s="361">
        <f>'CF 2024'!U28</f>
        <v>0</v>
      </c>
      <c r="J28" s="361">
        <f t="shared" ref="J28" si="7">SUM(J26:J27)</f>
        <v>0</v>
      </c>
      <c r="K28" s="361">
        <f t="shared" ref="K28:R28" si="8">SUM(K26:K27)</f>
        <v>0</v>
      </c>
      <c r="L28" s="361">
        <f t="shared" si="8"/>
        <v>0</v>
      </c>
      <c r="M28" s="361">
        <f t="shared" si="8"/>
        <v>0</v>
      </c>
      <c r="N28" s="361">
        <f t="shared" si="8"/>
        <v>0</v>
      </c>
      <c r="O28" s="361">
        <f t="shared" si="8"/>
        <v>0</v>
      </c>
      <c r="P28" s="361">
        <f t="shared" si="8"/>
        <v>0</v>
      </c>
      <c r="Q28" s="361">
        <f t="shared" si="8"/>
        <v>0</v>
      </c>
      <c r="R28" s="361">
        <f t="shared" si="8"/>
        <v>0</v>
      </c>
      <c r="S28" s="158">
        <f>'CF 2026'!G28</f>
        <v>0</v>
      </c>
      <c r="T28" s="158">
        <f>'CF 2026'!H28</f>
        <v>0</v>
      </c>
      <c r="U28" s="158">
        <f>'CF 2026'!I28</f>
        <v>0</v>
      </c>
      <c r="V28" s="357"/>
    </row>
    <row r="29" spans="1:22" x14ac:dyDescent="0.3">
      <c r="B29" s="366" t="s">
        <v>161</v>
      </c>
      <c r="C29" s="157"/>
      <c r="D29" s="157"/>
      <c r="E29" s="157"/>
      <c r="F29" s="157"/>
      <c r="G29" s="361">
        <f>'CF 2024'!S29</f>
        <v>0</v>
      </c>
      <c r="H29" s="361">
        <f>'CF 2024'!T29</f>
        <v>0</v>
      </c>
      <c r="I29" s="361">
        <f>'CF 2024'!U29</f>
        <v>0</v>
      </c>
      <c r="J29" s="363"/>
      <c r="K29" s="363"/>
      <c r="L29" s="363"/>
      <c r="M29" s="363"/>
      <c r="N29" s="363"/>
      <c r="O29" s="363"/>
      <c r="P29" s="363"/>
      <c r="Q29" s="363"/>
      <c r="R29" s="363"/>
      <c r="S29" s="158">
        <f>'CF 2026'!G29</f>
        <v>0</v>
      </c>
      <c r="T29" s="158">
        <f>'CF 2026'!H29</f>
        <v>0</v>
      </c>
      <c r="U29" s="158">
        <f>'CF 2026'!I29</f>
        <v>0</v>
      </c>
      <c r="V29" s="357"/>
    </row>
    <row r="30" spans="1:22" x14ac:dyDescent="0.3">
      <c r="B30" s="356" t="s">
        <v>162</v>
      </c>
      <c r="C30" s="357"/>
      <c r="D30" s="357"/>
      <c r="E30" s="357"/>
      <c r="F30" s="357"/>
      <c r="G30" s="358">
        <f>'CF 2024'!S30</f>
        <v>0</v>
      </c>
      <c r="H30" s="358">
        <f>'CF 2024'!T30</f>
        <v>0</v>
      </c>
      <c r="I30" s="358">
        <f>'CF 2024'!U30</f>
        <v>0</v>
      </c>
      <c r="J30" s="359"/>
      <c r="K30" s="359"/>
      <c r="L30" s="359"/>
      <c r="M30" s="359"/>
      <c r="N30" s="359"/>
      <c r="O30" s="359"/>
      <c r="P30" s="359"/>
      <c r="Q30" s="359"/>
      <c r="R30" s="359"/>
      <c r="S30" s="223">
        <f>'CF 2026'!G30</f>
        <v>0</v>
      </c>
      <c r="T30" s="223">
        <f>'CF 2026'!H30</f>
        <v>0</v>
      </c>
      <c r="U30" s="223">
        <f>'CF 2026'!I30</f>
        <v>0</v>
      </c>
      <c r="V30" s="357"/>
    </row>
    <row r="31" spans="1:22" x14ac:dyDescent="0.3">
      <c r="B31" s="360" t="s">
        <v>121</v>
      </c>
      <c r="C31" s="357"/>
      <c r="D31" s="357"/>
      <c r="E31" s="357"/>
      <c r="F31" s="357"/>
      <c r="G31" s="358">
        <f>'CF 2024'!S31</f>
        <v>0</v>
      </c>
      <c r="H31" s="358">
        <f>'CF 2024'!T31</f>
        <v>0</v>
      </c>
      <c r="I31" s="358">
        <f>'CF 2024'!U31</f>
        <v>0</v>
      </c>
      <c r="J31" s="359"/>
      <c r="K31" s="359"/>
      <c r="L31" s="359"/>
      <c r="M31" s="359"/>
      <c r="N31" s="359"/>
      <c r="O31" s="359"/>
      <c r="P31" s="359"/>
      <c r="Q31" s="359"/>
      <c r="R31" s="359"/>
      <c r="S31" s="223">
        <f>'CF 2026'!G31</f>
        <v>0</v>
      </c>
      <c r="T31" s="223">
        <f>'CF 2026'!H31</f>
        <v>0</v>
      </c>
      <c r="U31" s="223">
        <f>'CF 2026'!I31</f>
        <v>0</v>
      </c>
      <c r="V31" s="357"/>
    </row>
    <row r="32" spans="1:22" x14ac:dyDescent="0.3">
      <c r="B32" s="360" t="s">
        <v>122</v>
      </c>
      <c r="C32" s="357"/>
      <c r="D32" s="357"/>
      <c r="E32" s="357"/>
      <c r="F32" s="357"/>
      <c r="G32" s="358">
        <f>'CF 2024'!S32</f>
        <v>0</v>
      </c>
      <c r="H32" s="358">
        <f>'CF 2024'!T32</f>
        <v>0</v>
      </c>
      <c r="I32" s="358">
        <f>'CF 2024'!U32</f>
        <v>0</v>
      </c>
      <c r="J32" s="359"/>
      <c r="K32" s="359"/>
      <c r="L32" s="359"/>
      <c r="M32" s="359"/>
      <c r="N32" s="359"/>
      <c r="O32" s="359"/>
      <c r="P32" s="359"/>
      <c r="Q32" s="359"/>
      <c r="R32" s="359"/>
      <c r="S32" s="223">
        <f>'CF 2026'!G32</f>
        <v>0</v>
      </c>
      <c r="T32" s="223">
        <f>'CF 2026'!H32</f>
        <v>0</v>
      </c>
      <c r="U32" s="223">
        <f>'CF 2026'!I32</f>
        <v>0</v>
      </c>
      <c r="V32" s="357"/>
    </row>
    <row r="33" spans="1:23" x14ac:dyDescent="0.3">
      <c r="B33" s="360" t="s">
        <v>123</v>
      </c>
      <c r="C33" s="357"/>
      <c r="D33" s="357"/>
      <c r="E33" s="357"/>
      <c r="F33" s="357"/>
      <c r="G33" s="358">
        <f>'CF 2024'!S33</f>
        <v>0</v>
      </c>
      <c r="H33" s="358">
        <f>'CF 2024'!T33</f>
        <v>0</v>
      </c>
      <c r="I33" s="358">
        <f>'CF 2024'!U33</f>
        <v>0</v>
      </c>
      <c r="J33" s="359"/>
      <c r="K33" s="359"/>
      <c r="L33" s="359"/>
      <c r="M33" s="359"/>
      <c r="N33" s="359"/>
      <c r="O33" s="359"/>
      <c r="P33" s="359"/>
      <c r="Q33" s="359"/>
      <c r="R33" s="359"/>
      <c r="S33" s="223">
        <f>'CF 2026'!G33</f>
        <v>0</v>
      </c>
      <c r="T33" s="223">
        <f>'CF 2026'!H33</f>
        <v>0</v>
      </c>
      <c r="U33" s="223">
        <f>'CF 2026'!I33</f>
        <v>0</v>
      </c>
      <c r="V33" s="357"/>
    </row>
    <row r="34" spans="1:23" x14ac:dyDescent="0.3">
      <c r="B34" s="356" t="s">
        <v>163</v>
      </c>
      <c r="C34" s="357"/>
      <c r="D34" s="357"/>
      <c r="E34" s="357"/>
      <c r="F34" s="357"/>
      <c r="G34" s="358">
        <f>'CF 2024'!S34</f>
        <v>-16818</v>
      </c>
      <c r="H34" s="358">
        <f>'CF 2024'!T34</f>
        <v>-16818</v>
      </c>
      <c r="I34" s="358">
        <f>'CF 2024'!U34</f>
        <v>-16818</v>
      </c>
      <c r="J34" s="358">
        <v>-16818</v>
      </c>
      <c r="K34" s="358">
        <v>-16818</v>
      </c>
      <c r="L34" s="358">
        <v>-16818</v>
      </c>
      <c r="M34" s="358">
        <v>-16818</v>
      </c>
      <c r="N34" s="358">
        <v>-16818</v>
      </c>
      <c r="O34" s="358">
        <v>-16818</v>
      </c>
      <c r="P34" s="358">
        <v>-16818</v>
      </c>
      <c r="Q34" s="358">
        <v>-16818</v>
      </c>
      <c r="R34" s="358">
        <v>-16818</v>
      </c>
      <c r="S34" s="223">
        <f>'CF 2026'!G34</f>
        <v>-22102</v>
      </c>
      <c r="T34" s="223">
        <f>'CF 2026'!H34</f>
        <v>-22102</v>
      </c>
      <c r="U34" s="223">
        <f>'CF 2026'!I34</f>
        <v>-22102</v>
      </c>
      <c r="V34" s="223">
        <f>SUM(G34:R34)</f>
        <v>-201816</v>
      </c>
      <c r="W34" s="1">
        <f>SUM(G30:R34)</f>
        <v>-201816</v>
      </c>
    </row>
    <row r="35" spans="1:23" x14ac:dyDescent="0.3">
      <c r="B35" s="360" t="s">
        <v>121</v>
      </c>
      <c r="C35" s="357"/>
      <c r="D35" s="357"/>
      <c r="E35" s="357"/>
      <c r="F35" s="357"/>
      <c r="G35" s="358">
        <f>'CF 2024'!S35</f>
        <v>0</v>
      </c>
      <c r="H35" s="358">
        <f>'CF 2024'!T35</f>
        <v>0</v>
      </c>
      <c r="I35" s="358">
        <f>'CF 2024'!U35</f>
        <v>0</v>
      </c>
      <c r="J35" s="358"/>
      <c r="K35" s="358"/>
      <c r="L35" s="358"/>
      <c r="M35" s="358"/>
      <c r="N35" s="358"/>
      <c r="O35" s="358"/>
      <c r="P35" s="358"/>
      <c r="Q35" s="358"/>
      <c r="R35" s="358"/>
      <c r="S35" s="223">
        <f>'CF 2026'!G35</f>
        <v>0</v>
      </c>
      <c r="T35" s="223">
        <f>'CF 2026'!H35</f>
        <v>0</v>
      </c>
      <c r="U35" s="223">
        <f>'CF 2026'!I35</f>
        <v>0</v>
      </c>
      <c r="V35" s="357"/>
    </row>
    <row r="36" spans="1:23" x14ac:dyDescent="0.3">
      <c r="B36" s="356" t="s">
        <v>164</v>
      </c>
      <c r="C36" s="357"/>
      <c r="D36" s="357"/>
      <c r="E36" s="357"/>
      <c r="F36" s="357"/>
      <c r="G36" s="358">
        <f>'CF 2024'!S36</f>
        <v>0</v>
      </c>
      <c r="H36" s="358">
        <f>'CF 2024'!T36</f>
        <v>0</v>
      </c>
      <c r="I36" s="358">
        <f>'CF 2024'!U36</f>
        <v>0</v>
      </c>
      <c r="J36" s="359"/>
      <c r="K36" s="359"/>
      <c r="L36" s="359"/>
      <c r="M36" s="359"/>
      <c r="N36" s="359"/>
      <c r="O36" s="359"/>
      <c r="P36" s="359"/>
      <c r="Q36" s="359"/>
      <c r="R36" s="359"/>
      <c r="S36" s="223">
        <f>'CF 2026'!G36</f>
        <v>0</v>
      </c>
      <c r="T36" s="223">
        <f>'CF 2026'!H36</f>
        <v>0</v>
      </c>
      <c r="U36" s="223">
        <f>'CF 2026'!I36</f>
        <v>0</v>
      </c>
      <c r="V36" s="357"/>
    </row>
    <row r="37" spans="1:23" x14ac:dyDescent="0.3">
      <c r="B37" s="360" t="s">
        <v>121</v>
      </c>
      <c r="C37" s="357"/>
      <c r="D37" s="357"/>
      <c r="E37" s="357"/>
      <c r="F37" s="357"/>
      <c r="G37" s="358">
        <f>'CF 2024'!S37</f>
        <v>0</v>
      </c>
      <c r="H37" s="358">
        <f>'CF 2024'!T37</f>
        <v>0</v>
      </c>
      <c r="I37" s="358">
        <f>'CF 2024'!U37</f>
        <v>0</v>
      </c>
      <c r="J37" s="359"/>
      <c r="K37" s="359"/>
      <c r="L37" s="359"/>
      <c r="M37" s="359"/>
      <c r="N37" s="359"/>
      <c r="O37" s="359"/>
      <c r="P37" s="359"/>
      <c r="Q37" s="359"/>
      <c r="R37" s="359"/>
      <c r="S37" s="223">
        <f>'CF 2026'!G37</f>
        <v>0</v>
      </c>
      <c r="T37" s="223">
        <f>'CF 2026'!H37</f>
        <v>0</v>
      </c>
      <c r="U37" s="223">
        <f>'CF 2026'!I37</f>
        <v>0</v>
      </c>
      <c r="V37" s="357"/>
    </row>
    <row r="38" spans="1:23" x14ac:dyDescent="0.3">
      <c r="B38" s="356" t="s">
        <v>165</v>
      </c>
      <c r="C38" s="357"/>
      <c r="D38" s="357"/>
      <c r="E38" s="357"/>
      <c r="F38" s="357"/>
      <c r="G38" s="358">
        <f>'CF 2024'!S38</f>
        <v>0</v>
      </c>
      <c r="H38" s="358">
        <f>'CF 2024'!T38</f>
        <v>0</v>
      </c>
      <c r="I38" s="358">
        <f>'CF 2024'!U38</f>
        <v>0</v>
      </c>
      <c r="J38" s="359"/>
      <c r="K38" s="359"/>
      <c r="L38" s="359"/>
      <c r="M38" s="359"/>
      <c r="N38" s="359"/>
      <c r="O38" s="359"/>
      <c r="P38" s="359"/>
      <c r="Q38" s="359"/>
      <c r="R38" s="359"/>
      <c r="S38" s="223">
        <f>'CF 2026'!G38</f>
        <v>0</v>
      </c>
      <c r="T38" s="223">
        <f>'CF 2026'!H38</f>
        <v>0</v>
      </c>
      <c r="U38" s="223">
        <f>'CF 2026'!I38</f>
        <v>0</v>
      </c>
      <c r="V38" s="357"/>
    </row>
    <row r="39" spans="1:23" x14ac:dyDescent="0.3">
      <c r="B39" s="360" t="s">
        <v>121</v>
      </c>
      <c r="C39" s="357"/>
      <c r="D39" s="357"/>
      <c r="E39" s="357"/>
      <c r="F39" s="357"/>
      <c r="G39" s="358">
        <f>'CF 2024'!S39</f>
        <v>0</v>
      </c>
      <c r="H39" s="358">
        <f>'CF 2024'!T39</f>
        <v>0</v>
      </c>
      <c r="I39" s="358">
        <f>'CF 2024'!U39</f>
        <v>0</v>
      </c>
      <c r="J39" s="359"/>
      <c r="K39" s="359"/>
      <c r="L39" s="359"/>
      <c r="M39" s="359"/>
      <c r="N39" s="359"/>
      <c r="O39" s="359"/>
      <c r="P39" s="359"/>
      <c r="Q39" s="359"/>
      <c r="R39" s="359"/>
      <c r="S39" s="223">
        <f>'CF 2026'!G39</f>
        <v>0</v>
      </c>
      <c r="T39" s="223">
        <f>'CF 2026'!H39</f>
        <v>0</v>
      </c>
      <c r="U39" s="223">
        <f>'CF 2026'!I39</f>
        <v>0</v>
      </c>
      <c r="V39" s="357"/>
    </row>
    <row r="40" spans="1:23" x14ac:dyDescent="0.3">
      <c r="B40" s="356" t="s">
        <v>166</v>
      </c>
      <c r="C40" s="357"/>
      <c r="D40" s="357"/>
      <c r="E40" s="357"/>
      <c r="F40" s="357"/>
      <c r="G40" s="358">
        <f>'CF 2024'!S40</f>
        <v>0</v>
      </c>
      <c r="H40" s="358">
        <f>'CF 2024'!T40</f>
        <v>0</v>
      </c>
      <c r="I40" s="358">
        <f>'CF 2024'!U40</f>
        <v>0</v>
      </c>
      <c r="J40" s="359"/>
      <c r="K40" s="359"/>
      <c r="L40" s="359"/>
      <c r="M40" s="359"/>
      <c r="N40" s="359"/>
      <c r="O40" s="359"/>
      <c r="P40" s="359"/>
      <c r="Q40" s="359"/>
      <c r="R40" s="359"/>
      <c r="S40" s="223">
        <f>'CF 2026'!G40</f>
        <v>0</v>
      </c>
      <c r="T40" s="223">
        <f>'CF 2026'!H40</f>
        <v>0</v>
      </c>
      <c r="U40" s="223">
        <f>'CF 2026'!I40</f>
        <v>0</v>
      </c>
      <c r="V40" s="357"/>
    </row>
    <row r="41" spans="1:23" x14ac:dyDescent="0.3">
      <c r="B41" s="360" t="s">
        <v>121</v>
      </c>
      <c r="C41" s="357"/>
      <c r="D41" s="357"/>
      <c r="E41" s="357"/>
      <c r="F41" s="357"/>
      <c r="G41" s="358">
        <f>'CF 2024'!S41</f>
        <v>0</v>
      </c>
      <c r="H41" s="358">
        <f>'CF 2024'!T41</f>
        <v>0</v>
      </c>
      <c r="I41" s="358">
        <f>'CF 2024'!U41</f>
        <v>0</v>
      </c>
      <c r="J41" s="359"/>
      <c r="K41" s="359"/>
      <c r="L41" s="359"/>
      <c r="M41" s="359"/>
      <c r="N41" s="359"/>
      <c r="O41" s="359"/>
      <c r="P41" s="359"/>
      <c r="Q41" s="359"/>
      <c r="R41" s="359"/>
      <c r="S41" s="223">
        <f>'CF 2026'!G41</f>
        <v>0</v>
      </c>
      <c r="T41" s="223">
        <f>'CF 2026'!H41</f>
        <v>0</v>
      </c>
      <c r="U41" s="223">
        <f>'CF 2026'!I41</f>
        <v>0</v>
      </c>
      <c r="V41" s="357"/>
    </row>
    <row r="42" spans="1:23" x14ac:dyDescent="0.3">
      <c r="B42" s="356" t="s">
        <v>52</v>
      </c>
      <c r="C42" s="357"/>
      <c r="D42" s="357"/>
      <c r="E42" s="357"/>
      <c r="F42" s="357"/>
      <c r="G42" s="358">
        <f>'CF 2024'!S42</f>
        <v>0</v>
      </c>
      <c r="H42" s="358">
        <f>'CF 2024'!T42</f>
        <v>0</v>
      </c>
      <c r="I42" s="358">
        <f>'CF 2024'!U42</f>
        <v>0</v>
      </c>
      <c r="J42" s="359"/>
      <c r="K42" s="359"/>
      <c r="L42" s="359"/>
      <c r="M42" s="359"/>
      <c r="N42" s="359"/>
      <c r="O42" s="359"/>
      <c r="P42" s="359"/>
      <c r="Q42" s="359"/>
      <c r="R42" s="359"/>
      <c r="S42" s="223">
        <f>'CF 2026'!G42</f>
        <v>0</v>
      </c>
      <c r="T42" s="223">
        <f>'CF 2026'!H42</f>
        <v>0</v>
      </c>
      <c r="U42" s="223">
        <f>'CF 2026'!I42</f>
        <v>0</v>
      </c>
      <c r="V42" s="357"/>
    </row>
    <row r="43" spans="1:23" x14ac:dyDescent="0.3">
      <c r="B43" s="356" t="s">
        <v>167</v>
      </c>
      <c r="C43" s="357"/>
      <c r="D43" s="357"/>
      <c r="E43" s="357"/>
      <c r="F43" s="357"/>
      <c r="G43" s="358">
        <f>'CF 2024'!S43</f>
        <v>-16818</v>
      </c>
      <c r="H43" s="358">
        <f>'CF 2024'!T43</f>
        <v>-16818</v>
      </c>
      <c r="I43" s="358">
        <f>'CF 2024'!U43</f>
        <v>-16818</v>
      </c>
      <c r="J43" s="358">
        <f t="shared" ref="J43" si="9">SUM(J30:J42)</f>
        <v>-16818</v>
      </c>
      <c r="K43" s="358">
        <f t="shared" ref="K43:R43" si="10">SUM(K30:K42)</f>
        <v>-16818</v>
      </c>
      <c r="L43" s="358">
        <f t="shared" si="10"/>
        <v>-16818</v>
      </c>
      <c r="M43" s="358">
        <f t="shared" si="10"/>
        <v>-16818</v>
      </c>
      <c r="N43" s="358">
        <f t="shared" si="10"/>
        <v>-16818</v>
      </c>
      <c r="O43" s="358">
        <f t="shared" si="10"/>
        <v>-16818</v>
      </c>
      <c r="P43" s="358">
        <f t="shared" si="10"/>
        <v>-16818</v>
      </c>
      <c r="Q43" s="358">
        <f t="shared" si="10"/>
        <v>-16818</v>
      </c>
      <c r="R43" s="358">
        <f t="shared" si="10"/>
        <v>-16818</v>
      </c>
      <c r="S43" s="223">
        <f>'CF 2026'!G43</f>
        <v>-22102</v>
      </c>
      <c r="T43" s="223">
        <f>'CF 2026'!H43</f>
        <v>-22102</v>
      </c>
      <c r="U43" s="223">
        <f>'CF 2026'!I43</f>
        <v>-22102</v>
      </c>
      <c r="V43" s="357"/>
    </row>
    <row r="44" spans="1:23" x14ac:dyDescent="0.3">
      <c r="A44" s="214"/>
      <c r="B44" s="367" t="s">
        <v>168</v>
      </c>
      <c r="C44" s="368"/>
      <c r="D44" s="368"/>
      <c r="E44" s="368"/>
      <c r="F44" s="368"/>
      <c r="G44" s="369">
        <f t="shared" ref="G44:J44" si="11">G23+G43</f>
        <v>353963.78240000008</v>
      </c>
      <c r="H44" s="369">
        <f t="shared" si="11"/>
        <v>363431.91359999997</v>
      </c>
      <c r="I44" s="369">
        <f t="shared" si="11"/>
        <v>371328.04479999997</v>
      </c>
      <c r="J44" s="369">
        <f t="shared" si="11"/>
        <v>379132.17599999998</v>
      </c>
      <c r="K44" s="369">
        <f t="shared" ref="K44:R44" si="12">K23+K43</f>
        <v>380645.51040000003</v>
      </c>
      <c r="L44" s="369">
        <f t="shared" si="12"/>
        <v>386868.94239999994</v>
      </c>
      <c r="M44" s="369">
        <f t="shared" si="12"/>
        <v>399707.17119999998</v>
      </c>
      <c r="N44" s="369">
        <f t="shared" si="12"/>
        <v>400795.80639999988</v>
      </c>
      <c r="O44" s="369">
        <f t="shared" si="12"/>
        <v>417203.43359999999</v>
      </c>
      <c r="P44" s="369">
        <f t="shared" si="12"/>
        <v>422196.94959999993</v>
      </c>
      <c r="Q44" s="369">
        <f t="shared" si="12"/>
        <v>417046.27039999998</v>
      </c>
      <c r="R44" s="369">
        <f t="shared" si="12"/>
        <v>423079.78639999998</v>
      </c>
      <c r="S44" s="374">
        <f t="shared" ref="S44:U44" si="13">S23+S43</f>
        <v>432701.2</v>
      </c>
      <c r="T44" s="374">
        <f t="shared" si="13"/>
        <v>443061.6</v>
      </c>
      <c r="U44" s="374">
        <f t="shared" si="13"/>
        <v>415598</v>
      </c>
      <c r="V44" s="374">
        <f>SUM(G44:R44)</f>
        <v>4715399.7871999992</v>
      </c>
    </row>
    <row r="45" spans="1:23" x14ac:dyDescent="0.3">
      <c r="A45" s="154"/>
      <c r="B45" s="181" t="s">
        <v>169</v>
      </c>
      <c r="C45" s="154"/>
      <c r="D45" s="154"/>
      <c r="E45" s="154"/>
      <c r="F45" s="154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154"/>
      <c r="T45" s="154"/>
      <c r="U45" s="154"/>
      <c r="V45" s="154"/>
    </row>
    <row r="46" spans="1:23" x14ac:dyDescent="0.3">
      <c r="B46" s="370" t="s">
        <v>160</v>
      </c>
      <c r="C46" s="370"/>
      <c r="D46" s="370"/>
      <c r="E46" s="370"/>
      <c r="F46" s="370"/>
      <c r="G46" s="371">
        <f t="shared" ref="G46:J46" si="14">G28</f>
        <v>0</v>
      </c>
      <c r="H46" s="371">
        <f t="shared" si="14"/>
        <v>0</v>
      </c>
      <c r="I46" s="371">
        <f t="shared" si="14"/>
        <v>0</v>
      </c>
      <c r="J46" s="371">
        <f t="shared" si="14"/>
        <v>0</v>
      </c>
      <c r="K46" s="371">
        <f t="shared" ref="K46:R46" si="15">K28</f>
        <v>0</v>
      </c>
      <c r="L46" s="371">
        <f t="shared" si="15"/>
        <v>0</v>
      </c>
      <c r="M46" s="371">
        <f t="shared" si="15"/>
        <v>0</v>
      </c>
      <c r="N46" s="371">
        <f t="shared" si="15"/>
        <v>0</v>
      </c>
      <c r="O46" s="371">
        <f t="shared" si="15"/>
        <v>0</v>
      </c>
      <c r="P46" s="371">
        <f t="shared" si="15"/>
        <v>0</v>
      </c>
      <c r="Q46" s="371">
        <f t="shared" si="15"/>
        <v>0</v>
      </c>
      <c r="R46" s="371">
        <f t="shared" si="15"/>
        <v>0</v>
      </c>
      <c r="S46" s="375">
        <f t="shared" ref="S46:U46" si="16">S28</f>
        <v>0</v>
      </c>
      <c r="T46" s="375">
        <f t="shared" si="16"/>
        <v>0</v>
      </c>
      <c r="U46" s="375">
        <f t="shared" si="16"/>
        <v>0</v>
      </c>
    </row>
    <row r="47" spans="1:23" x14ac:dyDescent="0.3">
      <c r="B47" s="157" t="s">
        <v>167</v>
      </c>
      <c r="C47" s="157"/>
      <c r="D47" s="157"/>
      <c r="E47" s="157"/>
      <c r="F47" s="157"/>
      <c r="G47" s="361">
        <f t="shared" ref="G47:J47" si="17">G43</f>
        <v>-16818</v>
      </c>
      <c r="H47" s="361">
        <f t="shared" si="17"/>
        <v>-16818</v>
      </c>
      <c r="I47" s="361">
        <f t="shared" si="17"/>
        <v>-16818</v>
      </c>
      <c r="J47" s="361">
        <f t="shared" si="17"/>
        <v>-16818</v>
      </c>
      <c r="K47" s="361">
        <f t="shared" ref="K47:R47" si="18">K43</f>
        <v>-16818</v>
      </c>
      <c r="L47" s="361">
        <f t="shared" si="18"/>
        <v>-16818</v>
      </c>
      <c r="M47" s="361">
        <f t="shared" si="18"/>
        <v>-16818</v>
      </c>
      <c r="N47" s="361">
        <f t="shared" si="18"/>
        <v>-16818</v>
      </c>
      <c r="O47" s="361">
        <f t="shared" si="18"/>
        <v>-16818</v>
      </c>
      <c r="P47" s="361">
        <f t="shared" si="18"/>
        <v>-16818</v>
      </c>
      <c r="Q47" s="361">
        <f t="shared" si="18"/>
        <v>-16818</v>
      </c>
      <c r="R47" s="361">
        <f t="shared" si="18"/>
        <v>-16818</v>
      </c>
      <c r="S47" s="158">
        <f t="shared" ref="S47:U47" si="19">S43</f>
        <v>-22102</v>
      </c>
      <c r="T47" s="158">
        <f t="shared" si="19"/>
        <v>-22102</v>
      </c>
      <c r="U47" s="158">
        <f t="shared" si="19"/>
        <v>-22102</v>
      </c>
    </row>
    <row r="48" spans="1:23" x14ac:dyDescent="0.3">
      <c r="B48" s="157" t="s">
        <v>44</v>
      </c>
      <c r="C48" s="157"/>
      <c r="D48" s="157"/>
      <c r="E48" s="157"/>
      <c r="F48" s="157"/>
      <c r="G48" s="361">
        <f t="shared" ref="G48:U48" si="20">G11</f>
        <v>546073.22800000012</v>
      </c>
      <c r="H48" s="361">
        <f t="shared" si="20"/>
        <v>553703.89199999999</v>
      </c>
      <c r="I48" s="361">
        <f t="shared" si="20"/>
        <v>559369.55599999998</v>
      </c>
      <c r="J48" s="361">
        <f t="shared" si="20"/>
        <v>564920.22</v>
      </c>
      <c r="K48" s="361">
        <f t="shared" si="20"/>
        <v>562607.38800000004</v>
      </c>
      <c r="L48" s="361">
        <f t="shared" si="20"/>
        <v>566182.17799999996</v>
      </c>
      <c r="M48" s="361">
        <f t="shared" si="20"/>
        <v>578025.46400000004</v>
      </c>
      <c r="N48" s="361">
        <f t="shared" si="20"/>
        <v>575181.75799999991</v>
      </c>
      <c r="O48" s="361">
        <f t="shared" si="20"/>
        <v>591486.79200000002</v>
      </c>
      <c r="P48" s="361">
        <f t="shared" si="20"/>
        <v>593524.18699999992</v>
      </c>
      <c r="Q48" s="361">
        <f t="shared" si="20"/>
        <v>582881.33799999999</v>
      </c>
      <c r="R48" s="361">
        <f t="shared" si="20"/>
        <v>586218.73300000001</v>
      </c>
      <c r="S48" s="158">
        <f t="shared" si="20"/>
        <v>604075</v>
      </c>
      <c r="T48" s="158">
        <f t="shared" si="20"/>
        <v>611500</v>
      </c>
      <c r="U48" s="158">
        <f t="shared" si="20"/>
        <v>571645</v>
      </c>
    </row>
    <row r="49" spans="1:22" x14ac:dyDescent="0.3">
      <c r="B49" s="157" t="s">
        <v>45</v>
      </c>
      <c r="C49" s="157"/>
      <c r="D49" s="157"/>
      <c r="E49" s="157"/>
      <c r="F49" s="157"/>
      <c r="G49" s="361">
        <f t="shared" ref="G49:J49" si="21">G18</f>
        <v>-625</v>
      </c>
      <c r="H49" s="361">
        <f t="shared" si="21"/>
        <v>-625</v>
      </c>
      <c r="I49" s="361">
        <f t="shared" si="21"/>
        <v>-625</v>
      </c>
      <c r="J49" s="361">
        <f t="shared" si="21"/>
        <v>-625</v>
      </c>
      <c r="K49" s="361">
        <f t="shared" ref="K49:R49" si="22">K18</f>
        <v>-625</v>
      </c>
      <c r="L49" s="361">
        <f t="shared" si="22"/>
        <v>-625</v>
      </c>
      <c r="M49" s="361">
        <f t="shared" si="22"/>
        <v>-625</v>
      </c>
      <c r="N49" s="361">
        <f t="shared" si="22"/>
        <v>-625</v>
      </c>
      <c r="O49" s="361">
        <f t="shared" si="22"/>
        <v>-625</v>
      </c>
      <c r="P49" s="361">
        <f t="shared" si="22"/>
        <v>-625</v>
      </c>
      <c r="Q49" s="361">
        <f t="shared" si="22"/>
        <v>-625</v>
      </c>
      <c r="R49" s="361">
        <f t="shared" si="22"/>
        <v>-625</v>
      </c>
      <c r="S49" s="158">
        <f t="shared" ref="S49:U49" si="23">S18</f>
        <v>-625</v>
      </c>
      <c r="T49" s="158">
        <f t="shared" si="23"/>
        <v>-625</v>
      </c>
      <c r="U49" s="158">
        <f t="shared" si="23"/>
        <v>-625</v>
      </c>
    </row>
    <row r="50" spans="1:22" x14ac:dyDescent="0.3">
      <c r="B50" s="157" t="s">
        <v>170</v>
      </c>
      <c r="C50" s="157"/>
      <c r="D50" s="157"/>
      <c r="E50" s="157"/>
      <c r="F50" s="157"/>
      <c r="G50" s="361">
        <f t="shared" ref="G50:J50" si="24">SUM(G46:G49)</f>
        <v>528630.22800000012</v>
      </c>
      <c r="H50" s="361">
        <f t="shared" si="24"/>
        <v>536260.89199999999</v>
      </c>
      <c r="I50" s="361">
        <f t="shared" si="24"/>
        <v>541926.55599999998</v>
      </c>
      <c r="J50" s="361">
        <f t="shared" si="24"/>
        <v>547477.22</v>
      </c>
      <c r="K50" s="361">
        <f t="shared" ref="K50:R50" si="25">SUM(K46:K49)</f>
        <v>545164.38800000004</v>
      </c>
      <c r="L50" s="361">
        <f t="shared" si="25"/>
        <v>548739.17799999996</v>
      </c>
      <c r="M50" s="361">
        <f t="shared" si="25"/>
        <v>560582.46400000004</v>
      </c>
      <c r="N50" s="361">
        <f t="shared" si="25"/>
        <v>557738.75799999991</v>
      </c>
      <c r="O50" s="361">
        <f t="shared" si="25"/>
        <v>574043.79200000002</v>
      </c>
      <c r="P50" s="361">
        <f t="shared" si="25"/>
        <v>576081.18699999992</v>
      </c>
      <c r="Q50" s="361">
        <f t="shared" si="25"/>
        <v>565438.33799999999</v>
      </c>
      <c r="R50" s="361">
        <f t="shared" si="25"/>
        <v>568775.73300000001</v>
      </c>
      <c r="S50" s="158">
        <f t="shared" ref="S50:U50" si="26">SUM(S46:S49)</f>
        <v>581348</v>
      </c>
      <c r="T50" s="158">
        <f t="shared" si="26"/>
        <v>588773</v>
      </c>
      <c r="U50" s="158">
        <f t="shared" si="26"/>
        <v>548918</v>
      </c>
    </row>
    <row r="51" spans="1:22" x14ac:dyDescent="0.3">
      <c r="B51" s="157" t="s">
        <v>153</v>
      </c>
      <c r="C51" s="157"/>
      <c r="D51" s="157"/>
      <c r="E51" s="157"/>
      <c r="F51" s="157"/>
      <c r="G51" s="361">
        <f>G19</f>
        <v>-69636.800000000003</v>
      </c>
      <c r="H51" s="361">
        <f t="shared" ref="H51:U51" si="27">H19</f>
        <v>-66273.2</v>
      </c>
      <c r="I51" s="361">
        <f t="shared" si="27"/>
        <v>-62909.600000000006</v>
      </c>
      <c r="J51" s="361">
        <f t="shared" si="27"/>
        <v>-59546</v>
      </c>
      <c r="K51" s="361">
        <f t="shared" si="27"/>
        <v>-56182.400000000001</v>
      </c>
      <c r="L51" s="361">
        <f t="shared" si="27"/>
        <v>-52818.8</v>
      </c>
      <c r="M51" s="361">
        <f t="shared" si="27"/>
        <v>-49455.200000000004</v>
      </c>
      <c r="N51" s="361">
        <f t="shared" si="27"/>
        <v>-46091.600000000006</v>
      </c>
      <c r="O51" s="361">
        <f t="shared" si="27"/>
        <v>-42728</v>
      </c>
      <c r="P51" s="361">
        <f t="shared" si="27"/>
        <v>-39364.400000000001</v>
      </c>
      <c r="Q51" s="361">
        <f t="shared" si="27"/>
        <v>-36000.800000000003</v>
      </c>
      <c r="R51" s="361">
        <f t="shared" si="27"/>
        <v>-32637.200000000001</v>
      </c>
      <c r="S51" s="361">
        <f t="shared" si="27"/>
        <v>-28216.800000000003</v>
      </c>
      <c r="T51" s="361">
        <f t="shared" si="27"/>
        <v>-23796.400000000001</v>
      </c>
      <c r="U51" s="361">
        <f t="shared" si="27"/>
        <v>-19376</v>
      </c>
    </row>
    <row r="52" spans="1:22" x14ac:dyDescent="0.3">
      <c r="B52" s="157" t="s">
        <v>154</v>
      </c>
      <c r="C52" s="157"/>
      <c r="D52" s="157"/>
      <c r="E52" s="157"/>
      <c r="F52" s="157"/>
      <c r="G52" s="372">
        <f>G20</f>
        <v>-105029.64560000003</v>
      </c>
      <c r="H52" s="372">
        <f t="shared" ref="H52:U52" si="28">H20</f>
        <v>-106555.77840000001</v>
      </c>
      <c r="I52" s="372">
        <f t="shared" si="28"/>
        <v>-107688.9112</v>
      </c>
      <c r="J52" s="372">
        <f t="shared" si="28"/>
        <v>-108799.04399999999</v>
      </c>
      <c r="K52" s="372">
        <f t="shared" si="28"/>
        <v>-108336.47760000001</v>
      </c>
      <c r="L52" s="372">
        <f t="shared" si="28"/>
        <v>-109051.4356</v>
      </c>
      <c r="M52" s="372">
        <f t="shared" si="28"/>
        <v>-111420.09280000001</v>
      </c>
      <c r="N52" s="372">
        <f t="shared" si="28"/>
        <v>-110851.35159999999</v>
      </c>
      <c r="O52" s="372">
        <f t="shared" si="28"/>
        <v>-114112.35840000001</v>
      </c>
      <c r="P52" s="372">
        <f t="shared" si="28"/>
        <v>-114519.83739999999</v>
      </c>
      <c r="Q52" s="372">
        <f t="shared" si="28"/>
        <v>-112391.26760000001</v>
      </c>
      <c r="R52" s="372">
        <f t="shared" si="28"/>
        <v>-113058.74660000001</v>
      </c>
      <c r="S52" s="372">
        <f t="shared" si="28"/>
        <v>-116630</v>
      </c>
      <c r="T52" s="372">
        <f t="shared" si="28"/>
        <v>-118115</v>
      </c>
      <c r="U52" s="372">
        <f t="shared" si="28"/>
        <v>-110144</v>
      </c>
    </row>
    <row r="53" spans="1:22" x14ac:dyDescent="0.3">
      <c r="B53" s="157" t="s">
        <v>168</v>
      </c>
      <c r="C53" s="157"/>
      <c r="D53" s="157"/>
      <c r="E53" s="157"/>
      <c r="F53" s="157"/>
      <c r="G53" s="361">
        <f t="shared" ref="G53:J53" si="29">SUM(G50:G52)</f>
        <v>353963.78240000008</v>
      </c>
      <c r="H53" s="361">
        <f t="shared" si="29"/>
        <v>363431.91359999997</v>
      </c>
      <c r="I53" s="361">
        <f t="shared" si="29"/>
        <v>371328.04480000003</v>
      </c>
      <c r="J53" s="361">
        <f t="shared" si="29"/>
        <v>379132.17599999998</v>
      </c>
      <c r="K53" s="361">
        <f t="shared" ref="K53:R53" si="30">SUM(K50:K52)</f>
        <v>380645.51040000003</v>
      </c>
      <c r="L53" s="361">
        <f t="shared" si="30"/>
        <v>386868.94239999994</v>
      </c>
      <c r="M53" s="361">
        <f t="shared" si="30"/>
        <v>399707.17119999998</v>
      </c>
      <c r="N53" s="361">
        <f t="shared" si="30"/>
        <v>400795.80639999994</v>
      </c>
      <c r="O53" s="361">
        <f t="shared" si="30"/>
        <v>417203.43359999999</v>
      </c>
      <c r="P53" s="361">
        <f t="shared" si="30"/>
        <v>422196.94959999993</v>
      </c>
      <c r="Q53" s="361">
        <f t="shared" si="30"/>
        <v>417046.27039999992</v>
      </c>
      <c r="R53" s="361">
        <f t="shared" si="30"/>
        <v>423079.78640000004</v>
      </c>
      <c r="S53" s="158">
        <f t="shared" ref="S53:U53" si="31">SUM(S50:S52)</f>
        <v>436501.19999999995</v>
      </c>
      <c r="T53" s="158">
        <f t="shared" si="31"/>
        <v>446861.6</v>
      </c>
      <c r="U53" s="158">
        <f t="shared" si="31"/>
        <v>419398</v>
      </c>
    </row>
    <row r="54" spans="1:22" x14ac:dyDescent="0.3">
      <c r="B54" s="13"/>
      <c r="C54" s="13"/>
      <c r="D54" s="13"/>
      <c r="E54" s="13"/>
      <c r="F54" s="13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3"/>
      <c r="T54" s="13"/>
      <c r="U54" s="13"/>
    </row>
    <row r="55" spans="1:22" x14ac:dyDescent="0.3">
      <c r="A55" s="154"/>
      <c r="B55" s="181" t="s">
        <v>171</v>
      </c>
      <c r="C55" s="154"/>
      <c r="D55" s="154"/>
      <c r="E55" s="154"/>
      <c r="F55" s="154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154"/>
      <c r="T55" s="154"/>
      <c r="U55" s="154"/>
      <c r="V55" s="154"/>
    </row>
    <row r="56" spans="1:22" x14ac:dyDescent="0.3">
      <c r="B56" s="357" t="s">
        <v>172</v>
      </c>
      <c r="C56" s="357"/>
      <c r="D56" s="357"/>
      <c r="E56" s="357"/>
      <c r="F56" s="357"/>
      <c r="G56" s="358">
        <f t="shared" ref="G56:J56" si="32">SUM(G23+G28)</f>
        <v>370781.78240000008</v>
      </c>
      <c r="H56" s="358">
        <f t="shared" si="32"/>
        <v>380249.91359999997</v>
      </c>
      <c r="I56" s="358">
        <f t="shared" si="32"/>
        <v>388146.04479999997</v>
      </c>
      <c r="J56" s="358">
        <f t="shared" si="32"/>
        <v>395950.17599999998</v>
      </c>
      <c r="K56" s="358">
        <f t="shared" ref="K56:R56" si="33">SUM(K23+K28)</f>
        <v>397463.51040000003</v>
      </c>
      <c r="L56" s="358">
        <f t="shared" si="33"/>
        <v>403686.94239999994</v>
      </c>
      <c r="M56" s="358">
        <f t="shared" si="33"/>
        <v>416525.17119999998</v>
      </c>
      <c r="N56" s="358">
        <f t="shared" si="33"/>
        <v>417613.80639999988</v>
      </c>
      <c r="O56" s="358">
        <f t="shared" si="33"/>
        <v>434021.43359999999</v>
      </c>
      <c r="P56" s="358">
        <f t="shared" si="33"/>
        <v>439014.94959999993</v>
      </c>
      <c r="Q56" s="358">
        <f t="shared" si="33"/>
        <v>433864.27039999998</v>
      </c>
      <c r="R56" s="358">
        <f t="shared" si="33"/>
        <v>439897.78639999998</v>
      </c>
      <c r="S56" s="223">
        <f t="shared" ref="S56:U56" si="34">SUM(S23+S28)</f>
        <v>454803.20000000001</v>
      </c>
      <c r="T56" s="223">
        <f t="shared" si="34"/>
        <v>465163.6</v>
      </c>
      <c r="U56" s="223">
        <f t="shared" si="34"/>
        <v>437700</v>
      </c>
    </row>
    <row r="57" spans="1:22" x14ac:dyDescent="0.3">
      <c r="B57" s="357" t="s">
        <v>173</v>
      </c>
      <c r="C57" s="357"/>
      <c r="D57" s="357"/>
      <c r="E57" s="357"/>
      <c r="F57" s="357"/>
      <c r="G57" s="358">
        <f t="shared" ref="G57:J57" si="35">G53</f>
        <v>353963.78240000008</v>
      </c>
      <c r="H57" s="358">
        <f t="shared" si="35"/>
        <v>363431.91359999997</v>
      </c>
      <c r="I57" s="358">
        <f t="shared" si="35"/>
        <v>371328.04480000003</v>
      </c>
      <c r="J57" s="358">
        <f t="shared" si="35"/>
        <v>379132.17599999998</v>
      </c>
      <c r="K57" s="358">
        <f t="shared" ref="K57:R57" si="36">K53</f>
        <v>380645.51040000003</v>
      </c>
      <c r="L57" s="358">
        <f t="shared" si="36"/>
        <v>386868.94239999994</v>
      </c>
      <c r="M57" s="358">
        <f t="shared" si="36"/>
        <v>399707.17119999998</v>
      </c>
      <c r="N57" s="358">
        <f t="shared" si="36"/>
        <v>400795.80639999994</v>
      </c>
      <c r="O57" s="358">
        <f t="shared" si="36"/>
        <v>417203.43359999999</v>
      </c>
      <c r="P57" s="358">
        <f t="shared" si="36"/>
        <v>422196.94959999993</v>
      </c>
      <c r="Q57" s="358">
        <f t="shared" si="36"/>
        <v>417046.27039999992</v>
      </c>
      <c r="R57" s="358">
        <f t="shared" si="36"/>
        <v>423079.78640000004</v>
      </c>
      <c r="S57" s="223">
        <f t="shared" ref="S57:U57" si="37">S53</f>
        <v>436501.19999999995</v>
      </c>
      <c r="T57" s="223">
        <f t="shared" si="37"/>
        <v>446861.6</v>
      </c>
      <c r="U57" s="223">
        <f t="shared" si="37"/>
        <v>419398</v>
      </c>
    </row>
    <row r="58" spans="1:22" x14ac:dyDescent="0.3">
      <c r="B58" s="357" t="s">
        <v>174</v>
      </c>
      <c r="C58" s="357"/>
      <c r="D58" s="357"/>
      <c r="E58" s="357"/>
      <c r="F58" s="357"/>
      <c r="G58" s="358">
        <f t="shared" ref="G58:J58" si="38">G53</f>
        <v>353963.78240000008</v>
      </c>
      <c r="H58" s="358">
        <f t="shared" si="38"/>
        <v>363431.91359999997</v>
      </c>
      <c r="I58" s="358">
        <f t="shared" si="38"/>
        <v>371328.04480000003</v>
      </c>
      <c r="J58" s="358">
        <f t="shared" si="38"/>
        <v>379132.17599999998</v>
      </c>
      <c r="K58" s="358">
        <f t="shared" ref="K58:R58" si="39">K53</f>
        <v>380645.51040000003</v>
      </c>
      <c r="L58" s="358">
        <f t="shared" si="39"/>
        <v>386868.94239999994</v>
      </c>
      <c r="M58" s="358">
        <f t="shared" si="39"/>
        <v>399707.17119999998</v>
      </c>
      <c r="N58" s="358">
        <f t="shared" si="39"/>
        <v>400795.80639999994</v>
      </c>
      <c r="O58" s="358">
        <f t="shared" si="39"/>
        <v>417203.43359999999</v>
      </c>
      <c r="P58" s="358">
        <f t="shared" si="39"/>
        <v>422196.94959999993</v>
      </c>
      <c r="Q58" s="358">
        <f t="shared" si="39"/>
        <v>417046.27039999992</v>
      </c>
      <c r="R58" s="358">
        <f t="shared" si="39"/>
        <v>423079.78640000004</v>
      </c>
      <c r="S58" s="223">
        <f t="shared" ref="S58:T58" si="40">S53</f>
        <v>436501.19999999995</v>
      </c>
      <c r="T58" s="223">
        <f t="shared" si="40"/>
        <v>446861.6</v>
      </c>
      <c r="U58" s="223">
        <f>U53</f>
        <v>419398</v>
      </c>
    </row>
    <row r="59" spans="1:22" x14ac:dyDescent="0.3">
      <c r="B59" s="357" t="s">
        <v>166</v>
      </c>
      <c r="C59" s="357"/>
      <c r="D59" s="357"/>
      <c r="E59" s="357"/>
      <c r="F59" s="357"/>
      <c r="G59" s="359"/>
      <c r="H59" s="359"/>
      <c r="I59" s="359"/>
      <c r="J59" s="359"/>
      <c r="K59" s="359"/>
      <c r="L59" s="359"/>
      <c r="M59" s="359"/>
      <c r="N59" s="359"/>
      <c r="O59" s="359"/>
      <c r="P59" s="359"/>
      <c r="Q59" s="359"/>
      <c r="R59" s="359"/>
      <c r="S59" s="357"/>
      <c r="T59" s="357"/>
      <c r="U59" s="357"/>
    </row>
    <row r="60" spans="1:22" x14ac:dyDescent="0.3">
      <c r="B60" s="357" t="s">
        <v>168</v>
      </c>
      <c r="C60" s="357"/>
      <c r="D60" s="357"/>
      <c r="E60" s="357"/>
      <c r="F60" s="357"/>
      <c r="G60" s="358">
        <f t="shared" ref="G60:J60" si="41">G53</f>
        <v>353963.78240000008</v>
      </c>
      <c r="H60" s="358">
        <f t="shared" si="41"/>
        <v>363431.91359999997</v>
      </c>
      <c r="I60" s="358">
        <f t="shared" si="41"/>
        <v>371328.04480000003</v>
      </c>
      <c r="J60" s="358">
        <f t="shared" si="41"/>
        <v>379132.17599999998</v>
      </c>
      <c r="K60" s="358">
        <f t="shared" ref="K60:R60" si="42">K53</f>
        <v>380645.51040000003</v>
      </c>
      <c r="L60" s="358">
        <f t="shared" si="42"/>
        <v>386868.94239999994</v>
      </c>
      <c r="M60" s="358">
        <f t="shared" si="42"/>
        <v>399707.17119999998</v>
      </c>
      <c r="N60" s="358">
        <f t="shared" si="42"/>
        <v>400795.80639999994</v>
      </c>
      <c r="O60" s="358">
        <f t="shared" si="42"/>
        <v>417203.43359999999</v>
      </c>
      <c r="P60" s="358">
        <f t="shared" si="42"/>
        <v>422196.94959999993</v>
      </c>
      <c r="Q60" s="358">
        <f t="shared" si="42"/>
        <v>417046.27039999992</v>
      </c>
      <c r="R60" s="358">
        <f t="shared" si="42"/>
        <v>423079.78640000004</v>
      </c>
      <c r="S60" s="223">
        <f t="shared" ref="S60:U60" si="43">S53</f>
        <v>436501.19999999995</v>
      </c>
      <c r="T60" s="223">
        <f t="shared" si="43"/>
        <v>446861.6</v>
      </c>
      <c r="U60" s="223">
        <f t="shared" si="43"/>
        <v>419398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6CFE-DF58-4E8A-A729-491A1CD01159}">
  <sheetPr codeName="Sheet29"/>
  <dimension ref="A1:Y1106"/>
  <sheetViews>
    <sheetView showGridLines="0" workbookViewId="0">
      <selection activeCell="R5" sqref="R5:T5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33203125" style="136" customWidth="1"/>
    <col min="7" max="8" width="9.5546875" bestFit="1" customWidth="1"/>
    <col min="9" max="9" width="10.33203125" customWidth="1"/>
    <col min="10" max="10" width="9.6640625" customWidth="1"/>
    <col min="11" max="11" width="10" customWidth="1"/>
    <col min="12" max="12" width="10.109375" customWidth="1"/>
    <col min="13" max="13" width="9.88671875" customWidth="1"/>
    <col min="14" max="14" width="10" customWidth="1"/>
    <col min="15" max="16" width="9.77734375" customWidth="1"/>
    <col min="17" max="17" width="9.88671875" customWidth="1"/>
    <col min="18" max="18" width="9.88671875" bestFit="1" customWidth="1"/>
    <col min="19" max="19" width="10" customWidth="1"/>
    <col min="20" max="20" width="9.88671875" customWidth="1"/>
    <col min="21" max="21" width="11.1093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175</v>
      </c>
      <c r="F2"/>
    </row>
    <row r="3" spans="1:25" x14ac:dyDescent="0.3">
      <c r="B3" t="s">
        <v>145</v>
      </c>
      <c r="F3"/>
    </row>
    <row r="4" spans="1:25" x14ac:dyDescent="0.3">
      <c r="F4"/>
    </row>
    <row r="5" spans="1:25" x14ac:dyDescent="0.3">
      <c r="A5" s="154"/>
      <c r="B5" s="181" t="s">
        <v>176</v>
      </c>
      <c r="C5" s="154"/>
      <c r="D5" s="154"/>
      <c r="E5" s="154"/>
      <c r="F5" s="213">
        <v>2025</v>
      </c>
      <c r="G5" s="213">
        <v>2025</v>
      </c>
      <c r="H5" s="213">
        <v>2025</v>
      </c>
      <c r="I5" s="213">
        <v>2025</v>
      </c>
      <c r="J5" s="213">
        <v>2025</v>
      </c>
      <c r="K5" s="213">
        <v>2025</v>
      </c>
      <c r="L5" s="213">
        <v>2025</v>
      </c>
      <c r="M5" s="213">
        <v>2025</v>
      </c>
      <c r="N5" s="213">
        <v>2025</v>
      </c>
      <c r="O5" s="213">
        <v>2025</v>
      </c>
      <c r="P5" s="213">
        <v>2025</v>
      </c>
      <c r="Q5" s="213">
        <v>2025</v>
      </c>
      <c r="R5" s="213">
        <v>2026</v>
      </c>
      <c r="S5" s="213">
        <v>2026</v>
      </c>
      <c r="T5" s="213">
        <v>2026</v>
      </c>
      <c r="U5" s="154"/>
    </row>
    <row r="6" spans="1:25" ht="15" thickBot="1" x14ac:dyDescent="0.35">
      <c r="A6" s="166"/>
      <c r="B6" s="167" t="s">
        <v>70</v>
      </c>
      <c r="C6" s="155"/>
      <c r="D6" s="155"/>
      <c r="E6" s="155"/>
      <c r="F6" s="212" t="s">
        <v>32</v>
      </c>
      <c r="G6" s="212" t="s">
        <v>33</v>
      </c>
      <c r="H6" s="212" t="s">
        <v>34</v>
      </c>
      <c r="I6" s="212" t="s">
        <v>35</v>
      </c>
      <c r="J6" s="212" t="s">
        <v>36</v>
      </c>
      <c r="K6" s="212" t="s">
        <v>37</v>
      </c>
      <c r="L6" s="212" t="s">
        <v>38</v>
      </c>
      <c r="M6" s="212" t="s">
        <v>39</v>
      </c>
      <c r="N6" s="212" t="s">
        <v>40</v>
      </c>
      <c r="O6" s="212" t="s">
        <v>41</v>
      </c>
      <c r="P6" s="212" t="s">
        <v>42</v>
      </c>
      <c r="Q6" s="212" t="s">
        <v>43</v>
      </c>
      <c r="R6" s="212" t="s">
        <v>32</v>
      </c>
      <c r="S6" s="212" t="s">
        <v>33</v>
      </c>
      <c r="T6" s="212" t="s">
        <v>34</v>
      </c>
      <c r="U6" s="209" t="s">
        <v>78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6" t="s">
        <v>310</v>
      </c>
      <c r="F8"/>
    </row>
    <row r="9" spans="1:25" x14ac:dyDescent="0.3">
      <c r="C9" s="177"/>
      <c r="F9"/>
    </row>
    <row r="10" spans="1:25" x14ac:dyDescent="0.3">
      <c r="C10" s="176" t="s">
        <v>55</v>
      </c>
      <c r="F10"/>
      <c r="G10" s="178"/>
      <c r="H10" s="178"/>
      <c r="I10" s="178"/>
      <c r="J10" s="178"/>
      <c r="K10" s="178"/>
      <c r="L10" s="177"/>
      <c r="M10" s="178"/>
      <c r="N10" s="178"/>
      <c r="O10" s="178"/>
      <c r="P10" s="178"/>
      <c r="Q10" s="178"/>
      <c r="R10" s="178"/>
      <c r="S10" s="178"/>
      <c r="T10" s="178"/>
      <c r="V10" s="1"/>
    </row>
    <row r="11" spans="1:25" x14ac:dyDescent="0.3">
      <c r="C11" s="177" t="s">
        <v>177</v>
      </c>
      <c r="F11" s="178">
        <f>'BS 2024'!Q14+'CF 2025'!G53</f>
        <v>2978356.1823999998</v>
      </c>
      <c r="G11" s="178">
        <f>F14+'CF 2025'!H53</f>
        <v>3341788.0959999999</v>
      </c>
      <c r="H11" s="178">
        <f>G14+'CF 2025'!I53</f>
        <v>3713116.1408000002</v>
      </c>
      <c r="I11" s="178">
        <f>H14+'CF 2025'!J53</f>
        <v>4092248.3168000001</v>
      </c>
      <c r="J11" s="178">
        <f>I14+'CF 2025'!K53</f>
        <v>4472893.8272000002</v>
      </c>
      <c r="K11" s="178">
        <f>J14+'CF 2025'!L53</f>
        <v>4859762.7696000002</v>
      </c>
      <c r="L11" s="178">
        <f>K14+'CF 2025'!M53</f>
        <v>5259469.9408</v>
      </c>
      <c r="M11" s="178">
        <f>L14+'CF 2025'!N53</f>
        <v>5660265.7472000001</v>
      </c>
      <c r="N11" s="178">
        <f>M14+'CF 2025'!O53</f>
        <v>6077469.1808000002</v>
      </c>
      <c r="O11" s="178">
        <f>N14+'CF 2025'!P53</f>
        <v>6499666.1304000001</v>
      </c>
      <c r="P11" s="178">
        <f>O14+'CF 2025'!Q53</f>
        <v>6916712.4007999999</v>
      </c>
      <c r="Q11" s="178">
        <f>P14+'CF 2025'!R53</f>
        <v>7339792.1871999996</v>
      </c>
      <c r="R11" s="178">
        <f>'BS 2026'!F11</f>
        <v>7772493.3871999998</v>
      </c>
      <c r="S11" s="178">
        <f>'BS 2026'!G11</f>
        <v>8215554.9871999994</v>
      </c>
      <c r="T11" s="178">
        <f>'BS 2026'!H11</f>
        <v>8631152.9871999994</v>
      </c>
      <c r="V11" s="1"/>
    </row>
    <row r="12" spans="1:25" x14ac:dyDescent="0.3">
      <c r="C12" s="177" t="s">
        <v>178</v>
      </c>
      <c r="F12" s="178"/>
      <c r="G12" s="177"/>
      <c r="H12" s="177"/>
      <c r="I12" s="177" t="s">
        <v>195</v>
      </c>
      <c r="J12" s="177"/>
      <c r="K12" s="177" t="s">
        <v>195</v>
      </c>
      <c r="L12" s="177"/>
      <c r="M12" s="177"/>
      <c r="N12" s="177"/>
      <c r="O12" s="177"/>
      <c r="P12" s="177"/>
      <c r="Q12" s="177"/>
      <c r="R12" s="177"/>
      <c r="S12" s="177" t="s">
        <v>195</v>
      </c>
      <c r="T12" s="177" t="s">
        <v>195</v>
      </c>
      <c r="V12" s="1"/>
    </row>
    <row r="13" spans="1:25" x14ac:dyDescent="0.3">
      <c r="C13" s="177" t="s">
        <v>179</v>
      </c>
      <c r="F13"/>
      <c r="I13" s="178"/>
      <c r="K13" s="178"/>
      <c r="S13" s="178"/>
      <c r="T13" s="178"/>
      <c r="V13" s="1"/>
    </row>
    <row r="14" spans="1:25" x14ac:dyDescent="0.3">
      <c r="C14" s="177" t="s">
        <v>180</v>
      </c>
      <c r="F14" s="178">
        <f>SUM(F11:F13)</f>
        <v>2978356.1823999998</v>
      </c>
      <c r="G14" s="178">
        <f t="shared" ref="G14:Q14" si="0">SUM(G11:G13)</f>
        <v>3341788.0959999999</v>
      </c>
      <c r="H14" s="178">
        <f t="shared" si="0"/>
        <v>3713116.1408000002</v>
      </c>
      <c r="I14" s="178">
        <f t="shared" si="0"/>
        <v>4092248.3168000001</v>
      </c>
      <c r="J14" s="178">
        <f t="shared" si="0"/>
        <v>4472893.8272000002</v>
      </c>
      <c r="K14" s="178">
        <f t="shared" si="0"/>
        <v>4859762.7696000002</v>
      </c>
      <c r="L14" s="178">
        <f t="shared" si="0"/>
        <v>5259469.9408</v>
      </c>
      <c r="M14" s="178">
        <f t="shared" si="0"/>
        <v>5660265.7472000001</v>
      </c>
      <c r="N14" s="178">
        <f t="shared" si="0"/>
        <v>6077469.1808000002</v>
      </c>
      <c r="O14" s="178">
        <f t="shared" si="0"/>
        <v>6499666.1304000001</v>
      </c>
      <c r="P14" s="178">
        <f t="shared" si="0"/>
        <v>6916712.4007999999</v>
      </c>
      <c r="Q14" s="178">
        <f t="shared" si="0"/>
        <v>7339792.1871999996</v>
      </c>
      <c r="R14" s="178">
        <f t="shared" ref="R14" si="1">SUM(R11:R13)</f>
        <v>7772493.3871999998</v>
      </c>
      <c r="S14" s="178">
        <f t="shared" ref="S14" si="2">SUM(S11:S13)</f>
        <v>8215554.9871999994</v>
      </c>
      <c r="T14" s="178">
        <f t="shared" ref="T14" si="3">SUM(T11:T13)</f>
        <v>8631152.9871999994</v>
      </c>
      <c r="U14" s="223">
        <f>SUM(F14:Q14)</f>
        <v>61211540.920000002</v>
      </c>
      <c r="V14" s="1"/>
    </row>
    <row r="15" spans="1:25" x14ac:dyDescent="0.3">
      <c r="C15" s="176" t="s">
        <v>56</v>
      </c>
      <c r="F15"/>
      <c r="G15" s="177"/>
      <c r="H15" s="177"/>
      <c r="I15" s="177"/>
      <c r="J15" s="180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V15" s="1"/>
    </row>
    <row r="16" spans="1:25" x14ac:dyDescent="0.3">
      <c r="C16" s="179" t="s">
        <v>181</v>
      </c>
      <c r="F16" s="178">
        <f>'BS 2024'!Q16-'IS 2025'!F61</f>
        <v>471982</v>
      </c>
      <c r="G16" s="178">
        <f>F16-'IS 2025'!G61</f>
        <v>473432</v>
      </c>
      <c r="H16" s="178">
        <f>G16-'IS 2025'!H61</f>
        <v>474882</v>
      </c>
      <c r="I16" s="178">
        <f>H16-'IS 2025'!I61</f>
        <v>476332</v>
      </c>
      <c r="J16" s="178">
        <f>I16-'IS 2025'!J61</f>
        <v>477782</v>
      </c>
      <c r="K16" s="178">
        <f>J16-'IS 2025'!K61</f>
        <v>479232</v>
      </c>
      <c r="L16" s="178">
        <f>K16-'IS 2025'!L61</f>
        <v>480682</v>
      </c>
      <c r="M16" s="178">
        <f>L16-'IS 2025'!M61</f>
        <v>482132</v>
      </c>
      <c r="N16" s="178">
        <f>M16-'IS 2025'!N61</f>
        <v>483582</v>
      </c>
      <c r="O16" s="178">
        <f>N16-'IS 2025'!O61</f>
        <v>485032</v>
      </c>
      <c r="P16" s="178">
        <f>O16-'IS 2025'!P61</f>
        <v>486482</v>
      </c>
      <c r="Q16" s="178">
        <f>P16-'IS 2025'!Q61</f>
        <v>488332</v>
      </c>
      <c r="R16" s="178">
        <f>Q16-'IS 2026'!F60</f>
        <v>490182</v>
      </c>
      <c r="S16" s="185">
        <f>R16-'IS 2025'!G61</f>
        <v>491632</v>
      </c>
      <c r="T16" s="185">
        <f>S16-'IS 2025'!H61</f>
        <v>493082</v>
      </c>
      <c r="V16" s="1"/>
    </row>
    <row r="17" spans="1:22" x14ac:dyDescent="0.3">
      <c r="C17" s="179" t="s">
        <v>182</v>
      </c>
      <c r="F17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V17" s="1"/>
    </row>
    <row r="18" spans="1:22" x14ac:dyDescent="0.3">
      <c r="C18" s="179" t="s">
        <v>183</v>
      </c>
      <c r="F18" s="185">
        <f>SUM(F16:F17)</f>
        <v>471982</v>
      </c>
      <c r="G18" s="185">
        <f t="shared" ref="G18:T19" si="4">SUM(G16:G17)</f>
        <v>473432</v>
      </c>
      <c r="H18" s="185">
        <f t="shared" si="4"/>
        <v>474882</v>
      </c>
      <c r="I18" s="185">
        <f t="shared" si="4"/>
        <v>476332</v>
      </c>
      <c r="J18" s="185">
        <f t="shared" si="4"/>
        <v>477782</v>
      </c>
      <c r="K18" s="185">
        <f t="shared" si="4"/>
        <v>479232</v>
      </c>
      <c r="L18" s="185">
        <f t="shared" si="4"/>
        <v>480682</v>
      </c>
      <c r="M18" s="185">
        <f t="shared" si="4"/>
        <v>482132</v>
      </c>
      <c r="N18" s="185">
        <f t="shared" si="4"/>
        <v>483582</v>
      </c>
      <c r="O18" s="185">
        <f t="shared" si="4"/>
        <v>485032</v>
      </c>
      <c r="P18" s="185">
        <f t="shared" si="4"/>
        <v>486482</v>
      </c>
      <c r="Q18" s="185">
        <f t="shared" si="4"/>
        <v>488332</v>
      </c>
      <c r="R18" s="185">
        <f t="shared" si="4"/>
        <v>490182</v>
      </c>
      <c r="S18" s="185">
        <f t="shared" si="4"/>
        <v>491632</v>
      </c>
      <c r="T18" s="185">
        <f t="shared" si="4"/>
        <v>493082</v>
      </c>
      <c r="V18" s="1"/>
    </row>
    <row r="19" spans="1:22" x14ac:dyDescent="0.3">
      <c r="A19" s="149"/>
      <c r="B19" s="154"/>
      <c r="C19" s="188" t="s">
        <v>184</v>
      </c>
      <c r="D19" s="154"/>
      <c r="E19" s="154"/>
      <c r="F19" s="189">
        <f>SUM(F17:F18)</f>
        <v>471982</v>
      </c>
      <c r="G19" s="189">
        <f t="shared" si="4"/>
        <v>473432</v>
      </c>
      <c r="H19" s="189">
        <f t="shared" si="4"/>
        <v>474882</v>
      </c>
      <c r="I19" s="189">
        <f t="shared" si="4"/>
        <v>476332</v>
      </c>
      <c r="J19" s="189">
        <f t="shared" si="4"/>
        <v>477782</v>
      </c>
      <c r="K19" s="189">
        <f t="shared" si="4"/>
        <v>479232</v>
      </c>
      <c r="L19" s="189">
        <f t="shared" si="4"/>
        <v>480682</v>
      </c>
      <c r="M19" s="189">
        <f t="shared" si="4"/>
        <v>482132</v>
      </c>
      <c r="N19" s="189">
        <f t="shared" si="4"/>
        <v>483582</v>
      </c>
      <c r="O19" s="189">
        <f t="shared" si="4"/>
        <v>485032</v>
      </c>
      <c r="P19" s="189">
        <f t="shared" si="4"/>
        <v>486482</v>
      </c>
      <c r="Q19" s="189">
        <f t="shared" si="4"/>
        <v>488332</v>
      </c>
      <c r="R19" s="189">
        <f t="shared" si="4"/>
        <v>490182</v>
      </c>
      <c r="S19" s="189">
        <f t="shared" si="4"/>
        <v>491632</v>
      </c>
      <c r="T19" s="189">
        <f t="shared" si="4"/>
        <v>493082</v>
      </c>
      <c r="U19" s="162">
        <f>SUM(F19:Q19)</f>
        <v>5759884</v>
      </c>
      <c r="V19" s="1"/>
    </row>
    <row r="20" spans="1:22" x14ac:dyDescent="0.3">
      <c r="A20" s="166"/>
      <c r="B20" s="155"/>
      <c r="C20" s="190" t="s">
        <v>57</v>
      </c>
      <c r="D20" s="155"/>
      <c r="E20" s="155"/>
      <c r="F20" s="191">
        <f>F14+F19</f>
        <v>3450338.1823999998</v>
      </c>
      <c r="G20" s="191">
        <f>G14+G19</f>
        <v>3815220.0959999999</v>
      </c>
      <c r="H20" s="191">
        <f t="shared" ref="H20:T20" si="5">H14+H19</f>
        <v>4187998.1408000002</v>
      </c>
      <c r="I20" s="191">
        <f t="shared" si="5"/>
        <v>4568580.3168000001</v>
      </c>
      <c r="J20" s="191">
        <f t="shared" si="5"/>
        <v>4950675.8272000002</v>
      </c>
      <c r="K20" s="191">
        <f t="shared" si="5"/>
        <v>5338994.7696000002</v>
      </c>
      <c r="L20" s="191">
        <f t="shared" si="5"/>
        <v>5740151.9408</v>
      </c>
      <c r="M20" s="191">
        <f t="shared" si="5"/>
        <v>6142397.7472000001</v>
      </c>
      <c r="N20" s="191">
        <f t="shared" si="5"/>
        <v>6561051.1808000002</v>
      </c>
      <c r="O20" s="191">
        <f t="shared" si="5"/>
        <v>6984698.1304000001</v>
      </c>
      <c r="P20" s="191">
        <f t="shared" si="5"/>
        <v>7403194.4007999999</v>
      </c>
      <c r="Q20" s="191">
        <f t="shared" si="5"/>
        <v>7828124.1871999996</v>
      </c>
      <c r="R20" s="191">
        <f t="shared" si="5"/>
        <v>8262675.3871999998</v>
      </c>
      <c r="S20" s="191">
        <f t="shared" si="5"/>
        <v>8707186.9871999994</v>
      </c>
      <c r="T20" s="191">
        <f t="shared" si="5"/>
        <v>9124234.9871999994</v>
      </c>
      <c r="U20" s="156">
        <f>SUM(F20:Q20)</f>
        <v>66971424.920000002</v>
      </c>
      <c r="V20" s="1"/>
    </row>
    <row r="21" spans="1:22" x14ac:dyDescent="0.3">
      <c r="C21" s="187" t="s">
        <v>58</v>
      </c>
      <c r="F21"/>
      <c r="I21" s="180"/>
      <c r="K21" s="180"/>
      <c r="S21" s="180"/>
      <c r="T21" s="180"/>
      <c r="V21" s="1"/>
    </row>
    <row r="22" spans="1:22" x14ac:dyDescent="0.3">
      <c r="C22" s="179" t="s">
        <v>185</v>
      </c>
      <c r="F22" s="180"/>
      <c r="G22" s="180"/>
      <c r="Q22" s="180"/>
      <c r="V22" s="1"/>
    </row>
    <row r="23" spans="1:22" x14ac:dyDescent="0.3">
      <c r="C23" s="179" t="s">
        <v>186</v>
      </c>
      <c r="F23"/>
      <c r="H23" s="180"/>
      <c r="J23" s="180"/>
      <c r="V23" s="1"/>
    </row>
    <row r="24" spans="1:22" x14ac:dyDescent="0.3">
      <c r="C24" s="177" t="s">
        <v>187</v>
      </c>
      <c r="F24" s="185">
        <f>'CF 2025'!G52</f>
        <v>-105029.64560000003</v>
      </c>
      <c r="G24" s="185">
        <f>'CF 2025'!H52</f>
        <v>-106555.77840000001</v>
      </c>
      <c r="H24" s="185">
        <f>'CF 2025'!I52</f>
        <v>-107688.9112</v>
      </c>
      <c r="I24" s="185">
        <f>'CF 2025'!J52</f>
        <v>-108799.04399999999</v>
      </c>
      <c r="J24" s="185">
        <f>'CF 2025'!K52</f>
        <v>-108336.47760000001</v>
      </c>
      <c r="K24" s="185">
        <f>'CF 2025'!L52</f>
        <v>-109051.4356</v>
      </c>
      <c r="L24" s="185">
        <f>'CF 2025'!M52</f>
        <v>-111420.09280000001</v>
      </c>
      <c r="M24" s="185">
        <f>'CF 2025'!N52</f>
        <v>-110851.35159999999</v>
      </c>
      <c r="N24" s="185">
        <f>'CF 2025'!O52</f>
        <v>-114112.35840000001</v>
      </c>
      <c r="O24" s="185">
        <f>'CF 2025'!P52</f>
        <v>-114519.83739999999</v>
      </c>
      <c r="P24" s="185">
        <f>'CF 2025'!Q52</f>
        <v>-112391.26760000001</v>
      </c>
      <c r="Q24" s="185">
        <f>'CF 2025'!R52</f>
        <v>-113058.74660000001</v>
      </c>
      <c r="R24" s="185">
        <f>'CF 2025'!S52</f>
        <v>-116630</v>
      </c>
      <c r="S24" s="185">
        <f>'CF 2025'!T52</f>
        <v>-118115</v>
      </c>
      <c r="T24" s="185">
        <f>'CF 2025'!U52</f>
        <v>-110144</v>
      </c>
      <c r="V24" s="1"/>
    </row>
    <row r="25" spans="1:22" x14ac:dyDescent="0.3">
      <c r="A25" s="154"/>
      <c r="B25" s="154"/>
      <c r="C25" s="181" t="s">
        <v>188</v>
      </c>
      <c r="D25" s="154"/>
      <c r="E25" s="154"/>
      <c r="F25" s="162">
        <f>SUM(F22:F24)</f>
        <v>-105029.64560000003</v>
      </c>
      <c r="G25" s="162">
        <f t="shared" ref="G25:T25" si="6">SUM(G22:G24)</f>
        <v>-106555.77840000001</v>
      </c>
      <c r="H25" s="162">
        <f t="shared" si="6"/>
        <v>-107688.9112</v>
      </c>
      <c r="I25" s="162">
        <f t="shared" si="6"/>
        <v>-108799.04399999999</v>
      </c>
      <c r="J25" s="162">
        <f t="shared" si="6"/>
        <v>-108336.47760000001</v>
      </c>
      <c r="K25" s="162">
        <f t="shared" si="6"/>
        <v>-109051.4356</v>
      </c>
      <c r="L25" s="162">
        <f t="shared" si="6"/>
        <v>-111420.09280000001</v>
      </c>
      <c r="M25" s="162">
        <f t="shared" si="6"/>
        <v>-110851.35159999999</v>
      </c>
      <c r="N25" s="162">
        <f t="shared" si="6"/>
        <v>-114112.35840000001</v>
      </c>
      <c r="O25" s="162">
        <f t="shared" si="6"/>
        <v>-114519.83739999999</v>
      </c>
      <c r="P25" s="162">
        <f t="shared" si="6"/>
        <v>-112391.26760000001</v>
      </c>
      <c r="Q25" s="162">
        <f t="shared" si="6"/>
        <v>-113058.74660000001</v>
      </c>
      <c r="R25" s="162">
        <f t="shared" si="6"/>
        <v>-116630</v>
      </c>
      <c r="S25" s="162">
        <f t="shared" si="6"/>
        <v>-118115</v>
      </c>
      <c r="T25" s="162">
        <f t="shared" si="6"/>
        <v>-110144</v>
      </c>
      <c r="U25" s="162">
        <f>SUM(F25:Q25)</f>
        <v>-1321814.9468</v>
      </c>
      <c r="V25" s="1"/>
    </row>
    <row r="26" spans="1:22" x14ac:dyDescent="0.3">
      <c r="A26" s="155"/>
      <c r="B26" s="155"/>
      <c r="C26" s="192" t="s">
        <v>59</v>
      </c>
      <c r="D26" s="155"/>
      <c r="E26" s="155"/>
      <c r="F26" s="156"/>
      <c r="G26" s="155"/>
      <c r="H26" s="155"/>
      <c r="I26" s="156"/>
      <c r="J26" s="155"/>
      <c r="K26" s="156"/>
      <c r="L26" s="193"/>
      <c r="M26" s="193"/>
      <c r="N26" s="193"/>
      <c r="O26" s="193"/>
      <c r="P26" s="193"/>
      <c r="Q26" s="155"/>
      <c r="R26" s="193"/>
      <c r="S26" s="156"/>
      <c r="T26" s="156"/>
      <c r="U26" s="155"/>
      <c r="V26" s="1"/>
    </row>
    <row r="27" spans="1:22" x14ac:dyDescent="0.3">
      <c r="C27" s="176" t="s">
        <v>189</v>
      </c>
      <c r="F27" s="185">
        <f>'BS 2024'!Q27-'CF 2025'!G34</f>
        <v>-348184</v>
      </c>
      <c r="G27" s="185">
        <f>F27-'CF 2025'!H34</f>
        <v>-331366</v>
      </c>
      <c r="H27" s="185">
        <f>G27-'CF 2025'!I34</f>
        <v>-314548</v>
      </c>
      <c r="I27" s="185">
        <f>H27-'CF 2025'!J34</f>
        <v>-297730</v>
      </c>
      <c r="J27" s="185">
        <f>I27-'CF 2025'!K34</f>
        <v>-280912</v>
      </c>
      <c r="K27" s="185">
        <f>J27-'CF 2025'!L34</f>
        <v>-264094</v>
      </c>
      <c r="L27" s="185">
        <f>K27-'CF 2025'!M34</f>
        <v>-247276</v>
      </c>
      <c r="M27" s="185">
        <f>L27-'CF 2025'!N34</f>
        <v>-230458</v>
      </c>
      <c r="N27" s="185">
        <f>M27-'CF 2025'!O34</f>
        <v>-213640</v>
      </c>
      <c r="O27" s="185">
        <f>N27-'CF 2025'!P34</f>
        <v>-196822</v>
      </c>
      <c r="P27" s="185">
        <f>O27-'CF 2025'!Q34</f>
        <v>-180004</v>
      </c>
      <c r="Q27" s="185">
        <f>P27-'CF 2025'!R34</f>
        <v>-163186</v>
      </c>
      <c r="R27" s="185">
        <f>'BS 2026'!F27</f>
        <v>-141084</v>
      </c>
      <c r="S27" s="185">
        <f>'BS 2026'!G27</f>
        <v>-118982</v>
      </c>
      <c r="T27" s="185">
        <f>'BS 2026'!H27</f>
        <v>-96880</v>
      </c>
      <c r="U27" s="223">
        <f>SUM(F27:Q27)</f>
        <v>-3068220</v>
      </c>
      <c r="V27" s="1"/>
    </row>
    <row r="28" spans="1:22" ht="12.6" customHeight="1" x14ac:dyDescent="0.3">
      <c r="C28" s="177"/>
      <c r="F28"/>
      <c r="J28" s="178" t="s">
        <v>195</v>
      </c>
      <c r="U28" s="357"/>
      <c r="V28" s="1"/>
    </row>
    <row r="29" spans="1:22" x14ac:dyDescent="0.3">
      <c r="C29" s="176" t="s">
        <v>190</v>
      </c>
      <c r="F29" s="178"/>
      <c r="G29" s="178"/>
      <c r="H29" s="178"/>
      <c r="Q29" s="178"/>
      <c r="U29" s="357"/>
      <c r="V29" s="1"/>
    </row>
    <row r="30" spans="1:22" x14ac:dyDescent="0.3">
      <c r="C30" s="179" t="s">
        <v>198</v>
      </c>
      <c r="F30" s="178"/>
      <c r="G30" s="178"/>
      <c r="H30" s="178"/>
      <c r="Q30" s="178"/>
      <c r="U30" s="357"/>
      <c r="V30" s="1"/>
    </row>
    <row r="31" spans="1:22" x14ac:dyDescent="0.3">
      <c r="C31" s="176" t="s">
        <v>191</v>
      </c>
      <c r="F31" s="185">
        <f>SUM(F27:F29)</f>
        <v>-348184</v>
      </c>
      <c r="G31" s="185">
        <f t="shared" ref="G31:T31" si="7">SUM(G27:G29)</f>
        <v>-331366</v>
      </c>
      <c r="H31" s="185">
        <f t="shared" si="7"/>
        <v>-314548</v>
      </c>
      <c r="I31" s="185">
        <f t="shared" si="7"/>
        <v>-297730</v>
      </c>
      <c r="J31" s="185">
        <f t="shared" si="7"/>
        <v>-280912</v>
      </c>
      <c r="K31" s="185">
        <f t="shared" si="7"/>
        <v>-264094</v>
      </c>
      <c r="L31" s="185">
        <f t="shared" si="7"/>
        <v>-247276</v>
      </c>
      <c r="M31" s="185">
        <f t="shared" si="7"/>
        <v>-230458</v>
      </c>
      <c r="N31" s="185">
        <f t="shared" si="7"/>
        <v>-213640</v>
      </c>
      <c r="O31" s="185">
        <f t="shared" si="7"/>
        <v>-196822</v>
      </c>
      <c r="P31" s="185">
        <f t="shared" si="7"/>
        <v>-180004</v>
      </c>
      <c r="Q31" s="185">
        <f t="shared" si="7"/>
        <v>-163186</v>
      </c>
      <c r="R31" s="185">
        <f t="shared" si="7"/>
        <v>-141084</v>
      </c>
      <c r="S31" s="185">
        <f t="shared" si="7"/>
        <v>-118982</v>
      </c>
      <c r="T31" s="185">
        <f t="shared" si="7"/>
        <v>-96880</v>
      </c>
      <c r="U31" s="357"/>
      <c r="V31" s="1"/>
    </row>
    <row r="32" spans="1:22" x14ac:dyDescent="0.3">
      <c r="C32" s="176" t="s">
        <v>60</v>
      </c>
      <c r="F32" s="185">
        <f>F31+F25</f>
        <v>-453213.64560000005</v>
      </c>
      <c r="G32" s="185">
        <f t="shared" ref="G32:T32" si="8">G31+G24</f>
        <v>-437921.77840000001</v>
      </c>
      <c r="H32" s="185">
        <f t="shared" si="8"/>
        <v>-422236.91119999997</v>
      </c>
      <c r="I32" s="185">
        <f t="shared" si="8"/>
        <v>-406529.04399999999</v>
      </c>
      <c r="J32" s="185">
        <f t="shared" si="8"/>
        <v>-389248.47759999998</v>
      </c>
      <c r="K32" s="185">
        <f t="shared" si="8"/>
        <v>-373145.43559999997</v>
      </c>
      <c r="L32" s="185">
        <f t="shared" si="8"/>
        <v>-358696.09279999998</v>
      </c>
      <c r="M32" s="185">
        <f t="shared" si="8"/>
        <v>-341309.35159999999</v>
      </c>
      <c r="N32" s="185">
        <f t="shared" si="8"/>
        <v>-327752.35840000003</v>
      </c>
      <c r="O32" s="185">
        <f t="shared" si="8"/>
        <v>-311341.83739999996</v>
      </c>
      <c r="P32" s="185">
        <f t="shared" si="8"/>
        <v>-292395.26760000002</v>
      </c>
      <c r="Q32" s="185">
        <f t="shared" si="8"/>
        <v>-276244.74660000001</v>
      </c>
      <c r="R32" s="185">
        <f t="shared" si="8"/>
        <v>-257714</v>
      </c>
      <c r="S32" s="185">
        <f t="shared" si="8"/>
        <v>-237097</v>
      </c>
      <c r="T32" s="185">
        <f t="shared" si="8"/>
        <v>-207024</v>
      </c>
      <c r="U32" s="357"/>
      <c r="V32" s="1"/>
    </row>
    <row r="33" spans="3:22" x14ac:dyDescent="0.3">
      <c r="C33" s="176" t="s">
        <v>61</v>
      </c>
      <c r="F33" s="222">
        <f>F20+F32</f>
        <v>2997124.5367999999</v>
      </c>
      <c r="G33" s="222">
        <f t="shared" ref="G33:Q33" si="9">G20+G32</f>
        <v>3377298.3175999997</v>
      </c>
      <c r="H33" s="222">
        <f t="shared" si="9"/>
        <v>3765761.2296000002</v>
      </c>
      <c r="I33" s="222">
        <f t="shared" si="9"/>
        <v>4162051.2728000004</v>
      </c>
      <c r="J33" s="222">
        <f t="shared" si="9"/>
        <v>4561427.3496000003</v>
      </c>
      <c r="K33" s="222">
        <f t="shared" si="9"/>
        <v>4965849.3340000007</v>
      </c>
      <c r="L33" s="222">
        <f t="shared" si="9"/>
        <v>5381455.8480000002</v>
      </c>
      <c r="M33" s="222">
        <f t="shared" si="9"/>
        <v>5801088.3956000004</v>
      </c>
      <c r="N33" s="222">
        <f t="shared" si="9"/>
        <v>6233298.8223999999</v>
      </c>
      <c r="O33" s="222">
        <f t="shared" si="9"/>
        <v>6673356.2930000005</v>
      </c>
      <c r="P33" s="222">
        <f t="shared" si="9"/>
        <v>7110799.1332</v>
      </c>
      <c r="Q33" s="222">
        <f t="shared" si="9"/>
        <v>7551879.4405999994</v>
      </c>
      <c r="R33" s="222">
        <f>R20+R32</f>
        <v>8004961.3871999998</v>
      </c>
      <c r="S33" s="222">
        <f t="shared" ref="S33" si="10">S20+S32</f>
        <v>8470089.9871999994</v>
      </c>
      <c r="T33" s="222">
        <f t="shared" ref="T33" si="11">T20+T32</f>
        <v>8917210.9871999994</v>
      </c>
      <c r="U33" s="379">
        <f>SUM(F33:Q33)</f>
        <v>62581389.973199993</v>
      </c>
      <c r="V33" s="1"/>
    </row>
    <row r="34" spans="3:22" x14ac:dyDescent="0.3">
      <c r="C34" s="179" t="s">
        <v>63</v>
      </c>
      <c r="F34" s="177"/>
      <c r="G34" s="177"/>
      <c r="H34" s="177"/>
      <c r="I34" s="177"/>
      <c r="J34" s="178"/>
      <c r="K34" s="178"/>
      <c r="L34" s="178"/>
      <c r="M34" s="178"/>
      <c r="N34" s="178"/>
      <c r="O34" s="178"/>
      <c r="P34" s="178"/>
      <c r="Q34" s="177"/>
      <c r="R34" s="178"/>
      <c r="S34" s="178"/>
      <c r="T34" s="178"/>
      <c r="V34" s="1"/>
    </row>
    <row r="35" spans="3:22" x14ac:dyDescent="0.3">
      <c r="C35" s="179" t="s">
        <v>65</v>
      </c>
      <c r="F35" s="178">
        <f>SUM(F33:F34)</f>
        <v>2997124.5367999999</v>
      </c>
      <c r="G35" s="178">
        <f t="shared" ref="G35:T35" si="12">SUM(G33:G34)</f>
        <v>3377298.3175999997</v>
      </c>
      <c r="H35" s="178">
        <f t="shared" si="12"/>
        <v>3765761.2296000002</v>
      </c>
      <c r="I35" s="178">
        <f t="shared" si="12"/>
        <v>4162051.2728000004</v>
      </c>
      <c r="J35" s="178">
        <f t="shared" si="12"/>
        <v>4561427.3496000003</v>
      </c>
      <c r="K35" s="178">
        <f t="shared" si="12"/>
        <v>4965849.3340000007</v>
      </c>
      <c r="L35" s="178">
        <f t="shared" si="12"/>
        <v>5381455.8480000002</v>
      </c>
      <c r="M35" s="178">
        <f t="shared" si="12"/>
        <v>5801088.3956000004</v>
      </c>
      <c r="N35" s="178">
        <f t="shared" si="12"/>
        <v>6233298.8223999999</v>
      </c>
      <c r="O35" s="178">
        <f t="shared" si="12"/>
        <v>6673356.2930000005</v>
      </c>
      <c r="P35" s="178">
        <f t="shared" si="12"/>
        <v>7110799.1332</v>
      </c>
      <c r="Q35" s="178">
        <f t="shared" si="12"/>
        <v>7551879.4405999994</v>
      </c>
      <c r="R35" s="178">
        <f t="shared" si="12"/>
        <v>8004961.3871999998</v>
      </c>
      <c r="S35" s="178">
        <f t="shared" si="12"/>
        <v>8470089.9871999994</v>
      </c>
      <c r="T35" s="178">
        <f t="shared" si="12"/>
        <v>8917210.9871999994</v>
      </c>
      <c r="V35" s="1"/>
    </row>
    <row r="36" spans="3:22" x14ac:dyDescent="0.3">
      <c r="C36" s="186" t="s">
        <v>66</v>
      </c>
      <c r="F36" s="178">
        <f>F34+F35</f>
        <v>2997124.5367999999</v>
      </c>
      <c r="G36" s="178">
        <f t="shared" ref="G36:T36" si="13">G34+G35</f>
        <v>3377298.3175999997</v>
      </c>
      <c r="H36" s="178">
        <f t="shared" si="13"/>
        <v>3765761.2296000002</v>
      </c>
      <c r="I36" s="178">
        <f t="shared" si="13"/>
        <v>4162051.2728000004</v>
      </c>
      <c r="J36" s="178">
        <f t="shared" si="13"/>
        <v>4561427.3496000003</v>
      </c>
      <c r="K36" s="178">
        <f t="shared" si="13"/>
        <v>4965849.3340000007</v>
      </c>
      <c r="L36" s="178">
        <f t="shared" si="13"/>
        <v>5381455.8480000002</v>
      </c>
      <c r="M36" s="178">
        <f t="shared" si="13"/>
        <v>5801088.3956000004</v>
      </c>
      <c r="N36" s="178">
        <f t="shared" si="13"/>
        <v>6233298.8223999999</v>
      </c>
      <c r="O36" s="178">
        <f t="shared" si="13"/>
        <v>6673356.2930000005</v>
      </c>
      <c r="P36" s="178">
        <f t="shared" si="13"/>
        <v>7110799.1332</v>
      </c>
      <c r="Q36" s="178">
        <f t="shared" si="13"/>
        <v>7551879.4405999994</v>
      </c>
      <c r="R36" s="178">
        <f t="shared" si="13"/>
        <v>8004961.3871999998</v>
      </c>
      <c r="S36" s="178">
        <f t="shared" si="13"/>
        <v>8470089.9871999994</v>
      </c>
      <c r="T36" s="178">
        <f t="shared" si="13"/>
        <v>8917210.9871999994</v>
      </c>
      <c r="V36" s="1"/>
    </row>
    <row r="37" spans="3:22" x14ac:dyDescent="0.3">
      <c r="C37" s="179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V37" s="1"/>
    </row>
    <row r="38" spans="3:22" x14ac:dyDescent="0.3">
      <c r="C38" s="179" t="s">
        <v>192</v>
      </c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V38" s="1"/>
    </row>
    <row r="39" spans="3:22" x14ac:dyDescent="0.3">
      <c r="C39" s="179" t="s">
        <v>193</v>
      </c>
      <c r="F39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V39" s="1"/>
    </row>
    <row r="40" spans="3:22" x14ac:dyDescent="0.3">
      <c r="C40" s="179" t="s">
        <v>194</v>
      </c>
      <c r="F40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V40" s="1"/>
    </row>
    <row r="41" spans="3:22" x14ac:dyDescent="0.3">
      <c r="C41" s="179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2024 Sales Summary</vt:lpstr>
      <vt:lpstr>IS 2024</vt:lpstr>
      <vt:lpstr>CF 2024</vt:lpstr>
      <vt:lpstr>BS 2024</vt:lpstr>
      <vt:lpstr>Statements Summary 2024</vt:lpstr>
      <vt:lpstr>2025 Sales Summary</vt:lpstr>
      <vt:lpstr>IS 2025</vt:lpstr>
      <vt:lpstr>CF 2025</vt:lpstr>
      <vt:lpstr>BS 2025</vt:lpstr>
      <vt:lpstr>Statements Summary 2025</vt:lpstr>
      <vt:lpstr>2026 Sales Summary</vt:lpstr>
      <vt:lpstr>IS 2026</vt:lpstr>
      <vt:lpstr>CF 2026</vt:lpstr>
      <vt:lpstr>BS 2026</vt:lpstr>
      <vt:lpstr>Statements Summary 2026</vt:lpstr>
      <vt:lpstr>2027 Sales Summary</vt:lpstr>
      <vt:lpstr>IS 2027</vt:lpstr>
      <vt:lpstr>CF 2027</vt:lpstr>
      <vt:lpstr>BS 2027</vt:lpstr>
      <vt:lpstr>Statements Summary 2027</vt:lpstr>
      <vt:lpstr>2028 Sales Summary</vt:lpstr>
      <vt:lpstr>IS 2028</vt:lpstr>
      <vt:lpstr>CF 2028</vt:lpstr>
      <vt:lpstr>BS 2028</vt:lpstr>
      <vt:lpstr>Statements Summary 2028</vt:lpstr>
      <vt:lpstr>Sales Summary Charts</vt:lpstr>
      <vt:lpstr>Key Metrics Charts</vt:lpstr>
      <vt:lpstr>Charts</vt:lpstr>
      <vt:lpstr>BEA</vt:lpstr>
      <vt:lpstr>Top Expenses</vt:lpstr>
      <vt:lpstr>Salaries Assumptions</vt:lpstr>
      <vt:lpstr>Services Assumptions </vt:lpstr>
      <vt:lpstr>COGS Assumptions</vt:lpstr>
      <vt:lpstr>Servcies Team Upselling %</vt:lpstr>
      <vt:lpstr>KPI Stage Financials</vt:lpstr>
      <vt:lpstr>KPI Spend</vt:lpstr>
      <vt:lpstr>Benchmarking Plan Over Time</vt:lpstr>
      <vt:lpstr>TimeData</vt:lpstr>
      <vt:lpstr>Unit Usage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Sharp</dc:creator>
  <cp:lastModifiedBy>Roger Sharp</cp:lastModifiedBy>
  <dcterms:created xsi:type="dcterms:W3CDTF">2023-11-23T10:27:01Z</dcterms:created>
  <dcterms:modified xsi:type="dcterms:W3CDTF">2024-11-07T09:39:31Z</dcterms:modified>
</cp:coreProperties>
</file>